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 tabRatio="661"/>
  </bookViews>
  <sheets>
    <sheet name="Orçamento Geral " sheetId="45" r:id="rId1"/>
    <sheet name="COLETA" sheetId="1" r:id="rId2"/>
    <sheet name="VARRIÇÃO" sheetId="66" r:id="rId3"/>
    <sheet name="CANTEIRO ADM LOCAL" sheetId="65" r:id="rId4"/>
    <sheet name="SERVIÇOS" sheetId="80" r:id="rId5"/>
    <sheet name="BDI Agetop" sheetId="72" r:id="rId6"/>
    <sheet name="ENCARGOS" sheetId="70" r:id="rId7"/>
    <sheet name="Planilha de Preços" sheetId="77" r:id="rId8"/>
    <sheet name="Boletim de Medição" sheetId="7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0" localSheetId="3">'[1]ALTERAÇÃO PROJETO'!#REF!</definedName>
    <definedName name="\0" localSheetId="7">'[1]ALTERAÇÃO PROJETO'!#REF!</definedName>
    <definedName name="\0">'[1]ALTERAÇÃO PROJETO'!#REF!</definedName>
    <definedName name="a1_10" localSheetId="3">#REF!</definedName>
    <definedName name="a1_10" localSheetId="7">#REF!</definedName>
    <definedName name="a1_10">#REF!</definedName>
    <definedName name="a1_100" localSheetId="3">#REF!</definedName>
    <definedName name="a1_100" localSheetId="7">#REF!</definedName>
    <definedName name="a1_100">#REF!</definedName>
    <definedName name="a1_15" localSheetId="3">#REF!</definedName>
    <definedName name="a1_15" localSheetId="7">#REF!</definedName>
    <definedName name="a1_15">#REF!</definedName>
    <definedName name="a1_25" localSheetId="3">#REF!</definedName>
    <definedName name="a1_25" localSheetId="7">#REF!</definedName>
    <definedName name="a1_25">#REF!</definedName>
    <definedName name="a1_5" localSheetId="3">#REF!</definedName>
    <definedName name="a1_5" localSheetId="7">#REF!</definedName>
    <definedName name="a1_5">#REF!</definedName>
    <definedName name="a1_50" localSheetId="3">#REF!</definedName>
    <definedName name="a1_50" localSheetId="7">#REF!</definedName>
    <definedName name="a1_50">#REF!</definedName>
    <definedName name="a1_a15" localSheetId="3">#REF!</definedName>
    <definedName name="a1_a15" localSheetId="7">#REF!</definedName>
    <definedName name="a1_a15">#REF!</definedName>
    <definedName name="a1_a5" localSheetId="3">#REF!</definedName>
    <definedName name="a1_a5" localSheetId="7">#REF!</definedName>
    <definedName name="a1_a5">#REF!</definedName>
    <definedName name="a2_10" localSheetId="3">#REF!</definedName>
    <definedName name="a2_10" localSheetId="7">#REF!</definedName>
    <definedName name="a2_10">#REF!</definedName>
    <definedName name="a2_100" localSheetId="3">#REF!</definedName>
    <definedName name="a2_100" localSheetId="7">#REF!</definedName>
    <definedName name="a2_100">#REF!</definedName>
    <definedName name="a2_25" localSheetId="3">#REF!</definedName>
    <definedName name="a2_25" localSheetId="7">#REF!</definedName>
    <definedName name="a2_25">#REF!</definedName>
    <definedName name="a2_5" localSheetId="3">#REF!</definedName>
    <definedName name="a2_5" localSheetId="7">#REF!</definedName>
    <definedName name="a2_5">#REF!</definedName>
    <definedName name="a2_50" localSheetId="3">#REF!</definedName>
    <definedName name="a2_50" localSheetId="7">#REF!</definedName>
    <definedName name="a2_50">#REF!</definedName>
    <definedName name="a2_a15" localSheetId="3">#REF!</definedName>
    <definedName name="a2_a15" localSheetId="7">#REF!</definedName>
    <definedName name="a2_a15">#REF!</definedName>
    <definedName name="ACRES">[2]FÓRM!$F$77:$G$81</definedName>
    <definedName name="ACUMULADO">'[3]Vínculos (Não Mexer)'!$B$4</definedName>
    <definedName name="ALUGUEL">[3]Planejamento!$E$29</definedName>
    <definedName name="_xlnm.Print_Area" localSheetId="5">'BDI Agetop'!$A$1:$R$94</definedName>
    <definedName name="_xlnm.Print_Area" localSheetId="8">'Boletim de Medição'!$B$1:$AK$41</definedName>
    <definedName name="_xlnm.Print_Area" localSheetId="3">'CANTEIRO ADM LOCAL'!$A$1:$M$63</definedName>
    <definedName name="_xlnm.Print_Area" localSheetId="1">COLETA!$B$1:$O$161</definedName>
    <definedName name="_xlnm.Print_Area" localSheetId="6">ENCARGOS!$A$1:$D$54</definedName>
    <definedName name="_xlnm.Print_Area" localSheetId="0">'Orçamento Geral '!$A$1:$F$33</definedName>
    <definedName name="_xlnm.Print_Area" localSheetId="7">'Planilha de Preços'!$A$1:$F$32</definedName>
    <definedName name="_xlnm.Print_Area" localSheetId="2">VARRIÇÃO!$B$1:$N$114</definedName>
    <definedName name="ÁREA_PROCV_SUB_EMPREITEIRAS">[4]Códigos!$B$5:$C$32</definedName>
    <definedName name="b1_10" localSheetId="3">#REF!</definedName>
    <definedName name="b1_10" localSheetId="7">#REF!</definedName>
    <definedName name="b1_10">#REF!</definedName>
    <definedName name="b1_100" localSheetId="3">#REF!</definedName>
    <definedName name="b1_100" localSheetId="7">#REF!</definedName>
    <definedName name="b1_100">#REF!</definedName>
    <definedName name="b1_25" localSheetId="3">#REF!</definedName>
    <definedName name="b1_25" localSheetId="7">#REF!</definedName>
    <definedName name="b1_25">#REF!</definedName>
    <definedName name="b1_5" localSheetId="3">#REF!</definedName>
    <definedName name="b1_5" localSheetId="7">#REF!</definedName>
    <definedName name="b1_5">#REF!</definedName>
    <definedName name="b1_50" localSheetId="3">#REF!</definedName>
    <definedName name="b1_50" localSheetId="7">#REF!</definedName>
    <definedName name="b1_50">#REF!</definedName>
    <definedName name="b1_a15" localSheetId="3">#REF!</definedName>
    <definedName name="b1_a15" localSheetId="7">#REF!</definedName>
    <definedName name="b1_a15">#REF!</definedName>
    <definedName name="b1_b15" localSheetId="3">#REF!</definedName>
    <definedName name="b1_b15" localSheetId="7">#REF!</definedName>
    <definedName name="b1_b15">#REF!</definedName>
    <definedName name="b2_10" localSheetId="3">#REF!</definedName>
    <definedName name="b2_10" localSheetId="7">#REF!</definedName>
    <definedName name="b2_10">#REF!</definedName>
    <definedName name="b2_100" localSheetId="3">#REF!</definedName>
    <definedName name="b2_100" localSheetId="7">#REF!</definedName>
    <definedName name="b2_100">#REF!</definedName>
    <definedName name="b2_15" localSheetId="3">#REF!</definedName>
    <definedName name="b2_15" localSheetId="7">#REF!</definedName>
    <definedName name="b2_15">#REF!</definedName>
    <definedName name="b2_25" localSheetId="3">#REF!</definedName>
    <definedName name="b2_25" localSheetId="7">#REF!</definedName>
    <definedName name="b2_25">#REF!</definedName>
    <definedName name="b2_5" localSheetId="3">#REF!</definedName>
    <definedName name="b2_5" localSheetId="7">#REF!</definedName>
    <definedName name="b2_5">#REF!</definedName>
    <definedName name="b2_50" localSheetId="3">#REF!</definedName>
    <definedName name="b2_50" localSheetId="7">#REF!</definedName>
    <definedName name="b2_50">#REF!</definedName>
    <definedName name="b2_a15" localSheetId="3">#REF!</definedName>
    <definedName name="b2_a15" localSheetId="7">#REF!</definedName>
    <definedName name="b2_a15">#REF!</definedName>
    <definedName name="b2_b15" localSheetId="3">#REF!</definedName>
    <definedName name="b2_b15" localSheetId="7">#REF!</definedName>
    <definedName name="b2_b15">#REF!</definedName>
    <definedName name="BAIRROS">'[3]Vínculos (Não Mexer)'!$I$3:$J$19</definedName>
    <definedName name="_xlnm.Database" localSheetId="3">#REF!</definedName>
    <definedName name="_xlnm.Database" localSheetId="7">#REF!</definedName>
    <definedName name="_xlnm.Database">#REF!</definedName>
    <definedName name="BDI" localSheetId="3">'[5]Lote 01'!#REF!</definedName>
    <definedName name="BDI" localSheetId="7">'[5]Lote 01'!#REF!</definedName>
    <definedName name="BDI">'[5]Lote 01'!#REF!</definedName>
    <definedName name="BDI_SINAPI" localSheetId="3">'[5]Lote 01'!#REF!</definedName>
    <definedName name="BDI_SINAPI" localSheetId="7">'[5]Lote 01'!#REF!</definedName>
    <definedName name="BDI_SINAPI">'[5]Lote 01'!#REF!</definedName>
    <definedName name="BOLETINS">'[3]Vínculos (Não Mexer)'!$M$3:$N$19</definedName>
    <definedName name="CANT_ETE" localSheetId="3">[3]Planejamento!#REF!</definedName>
    <definedName name="CANT_ETE" localSheetId="7">[3]Planejamento!#REF!</definedName>
    <definedName name="CANT_ETE">[3]Planejamento!#REF!</definedName>
    <definedName name="CERCA_ETE" localSheetId="3">[3]Planejamento!#REF!</definedName>
    <definedName name="CERCA_ETE" localSheetId="7">[3]Planejamento!#REF!</definedName>
    <definedName name="CERCA_ETE">[3]Planejamento!#REF!</definedName>
    <definedName name="CIDADE">'[3]Vínculos (Não Mexer)'!$G$36</definedName>
    <definedName name="CONT_REPASSE" localSheetId="3">#REF!</definedName>
    <definedName name="CONT_REPASSE" localSheetId="7">#REF!</definedName>
    <definedName name="CONT_REPASSE">#REF!</definedName>
    <definedName name="d1a" localSheetId="3">#REF!</definedName>
    <definedName name="d1a" localSheetId="7">#REF!</definedName>
    <definedName name="d1a">#REF!</definedName>
    <definedName name="d2a" localSheetId="3">#REF!</definedName>
    <definedName name="d2a" localSheetId="7">#REF!</definedName>
    <definedName name="d2a">#REF!</definedName>
    <definedName name="DATA">'[3]Vínculos (Não Mexer)'!$G$26</definedName>
    <definedName name="DESCR_COMPL" localSheetId="3">#REF!="S"</definedName>
    <definedName name="DESCR_COMPL" localSheetId="7">#REF!="S"</definedName>
    <definedName name="DESCR_COMPL">#REF!="S"</definedName>
    <definedName name="DIST_CANTEIRO">[3]Planejamento!$E$33</definedName>
    <definedName name="DT_OBRA" localSheetId="3">[3]Planejamento!#REF!</definedName>
    <definedName name="DT_OBRA" localSheetId="7">[3]Planejamento!#REF!</definedName>
    <definedName name="DT_OBRA">[3]Planejamento!#REF!</definedName>
    <definedName name="DURAÇÃO_ETE" localSheetId="3">[3]Planejamento!#REF!</definedName>
    <definedName name="DURAÇÃO_ETE" localSheetId="7">[3]Planejamento!#REF!</definedName>
    <definedName name="DURAÇÃO_ETE">[3]Planejamento!#REF!</definedName>
    <definedName name="EMPREITEIRAS">'[3]Vínculos (Não Mexer)'!$G$3:$H$19</definedName>
    <definedName name="EQ_LEVES" localSheetId="3">[3]Planejamento!#REF!</definedName>
    <definedName name="EQ_LEVES" localSheetId="7">[3]Planejamento!#REF!</definedName>
    <definedName name="EQ_LEVES">[3]Planejamento!#REF!</definedName>
    <definedName name="EQ_PESADOS" localSheetId="3">[3]Planejamento!#REF!</definedName>
    <definedName name="EQ_PESADOS" localSheetId="7">[3]Planejamento!#REF!</definedName>
    <definedName name="EQ_PESADOS">[3]Planejamento!#REF!</definedName>
    <definedName name="EQUIP_LEVE">[3]Planejamento!$E$34</definedName>
    <definedName name="EQUIP_PESADO">[3]Planejamento!$E$35</definedName>
    <definedName name="ESCRITÓRIO">'[3]Carta à C. E. F.'!$P$17</definedName>
    <definedName name="FATURA02" localSheetId="3">'[1]ALTERAÇÃO PROJETO'!#REF!</definedName>
    <definedName name="FATURA02" localSheetId="7">'[1]ALTERAÇÃO PROJETO'!#REF!</definedName>
    <definedName name="FATURA02">'[1]ALTERAÇÃO PROJETO'!#REF!</definedName>
    <definedName name="HP">[2]FÓRM!$J$74:$K$98</definedName>
    <definedName name="I_GAP">[3]Planejamento!$E$11</definedName>
    <definedName name="I_PAVIMENTAÇÃO">[3]Planejamento!$E$10</definedName>
    <definedName name="I_TERRAPLENAGEM">[3]Planejamento!$E$9</definedName>
    <definedName name="k">[2]ID!$B$11</definedName>
    <definedName name="kk">[2]ID!$B$12</definedName>
    <definedName name="kkk">[2]FÓRM!$B$193:$C$226</definedName>
    <definedName name="M_HUT" localSheetId="3">#REF!</definedName>
    <definedName name="M_HUT" localSheetId="7">#REF!</definedName>
    <definedName name="M_HUT">#REF!</definedName>
    <definedName name="MEDIÇÃO">'[3]Vínculos (Não Mexer)'!$G$23</definedName>
    <definedName name="MEDIÇÕES">'[3]Vínculos (Não Mexer)'!$E$3:$F$19</definedName>
    <definedName name="MMhut" localSheetId="3">#REF!</definedName>
    <definedName name="MMhut" localSheetId="7">#REF!</definedName>
    <definedName name="MMhut">#REF!</definedName>
    <definedName name="n">[2]ID!$B$8</definedName>
    <definedName name="OBJETIVO">'[3]Carta à C. E. F.'!$P$18</definedName>
    <definedName name="PERÍODO">'[3]Vínculos (Não Mexer)'!$G$24</definedName>
    <definedName name="PLANO">'[3]Vínculos (Não Mexer)'!$B$24</definedName>
    <definedName name="PLANOS">'[3]Vínculos (Não Mexer)'!$P$3:$Q$19</definedName>
    <definedName name="PREÇO_ETE" localSheetId="3">[3]Planejamento!#REF!</definedName>
    <definedName name="PREÇO_ETE" localSheetId="7">[3]Planejamento!#REF!</definedName>
    <definedName name="PREÇO_ETE">[3]Planejamento!#REF!</definedName>
    <definedName name="PREÇO_LEVE">[3]Planejamento!$E$31</definedName>
    <definedName name="PREÇO_PESADO">[3]Planejamento!$E$32</definedName>
    <definedName name="PREFEITO">'[3]Vínculos (Não Mexer)'!$G$38</definedName>
    <definedName name="Print_Area_MI" localSheetId="3">'[1]ALTERAÇÃO PAV. (SEM ADM.)'!#REF!</definedName>
    <definedName name="Print_Area_MI" localSheetId="7">'[1]ALTERAÇÃO PAV. (SEM ADM.)'!#REF!</definedName>
    <definedName name="Print_Area_MI">'[1]ALTERAÇÃO PAV. (SEM ADM.)'!#REF!</definedName>
    <definedName name="Print_Titles_MI">'[1]ALTERAÇÃO PAV. (SEM ADM.)'!$A$1:$IV$39,'[1]ALTERAÇÃO PAV. (SEM ADM.)'!$A$1:$E$65536</definedName>
    <definedName name="PROC_BOLETINS">'[3]Vínculos (Não Mexer)'!$B$14:$C$19</definedName>
    <definedName name="PROGRAMA">'[3]Carta à C. E. F.'!$P$16</definedName>
    <definedName name="q">[2]ID!$B$10</definedName>
    <definedName name="Q_resumo" localSheetId="3">#REF!</definedName>
    <definedName name="Q_resumo" localSheetId="7">#REF!</definedName>
    <definedName name="Q_resumo">#REF!</definedName>
    <definedName name="t">[2]ID!$B$9</definedName>
    <definedName name="TD" localSheetId="3">#REF!</definedName>
    <definedName name="TD" localSheetId="7">#REF!</definedName>
    <definedName name="TD">#REF!</definedName>
    <definedName name="_xlnm.Print_Titles" localSheetId="3">'CANTEIRO ADM LOCAL'!#REF!</definedName>
    <definedName name="_xlnm.Print_Titles" localSheetId="1">COLETA!$1:$11</definedName>
    <definedName name="_xlnm.Print_Titles" localSheetId="0">'Orçamento Geral '!$9:$13</definedName>
    <definedName name="_xlnm.Print_Titles" localSheetId="7">'Planilha de Preços'!$9:$13</definedName>
    <definedName name="_xlnm.Print_Titles" localSheetId="2">VARRIÇÃO!$1:$11</definedName>
    <definedName name="TT_ORÇADA">'[5]Lote 01'!$J$258</definedName>
    <definedName name="VER_DT">[3]Planejamento!$E$8&lt;&gt;"N"</definedName>
    <definedName name="VERBA_CANTEIRO">[3]Planejamento!$E$16="S"</definedName>
    <definedName name="VR_CONTRATO">'[3]Vínculos (Não Mexer)'!$G$39</definedName>
    <definedName name="X1a" localSheetId="3">#REF!</definedName>
    <definedName name="X1a" localSheetId="7">#REF!</definedName>
    <definedName name="X1a">#REF!</definedName>
    <definedName name="X2a" localSheetId="3">#REF!</definedName>
    <definedName name="X2a" localSheetId="7">#REF!</definedName>
    <definedName name="X2a">#REF!</definedName>
  </definedNames>
  <calcPr calcId="144525"/>
</workbook>
</file>

<file path=xl/calcChain.xml><?xml version="1.0" encoding="utf-8"?>
<calcChain xmlns="http://schemas.openxmlformats.org/spreadsheetml/2006/main">
  <c r="J37" i="66" l="1"/>
  <c r="D37" i="66"/>
  <c r="B29" i="80"/>
  <c r="I16" i="45" s="1"/>
  <c r="C26" i="80"/>
  <c r="E26" i="80" s="1"/>
  <c r="C28" i="80"/>
  <c r="G28" i="80" s="1"/>
  <c r="C20" i="65"/>
  <c r="C27" i="80" l="1"/>
  <c r="E27" i="80" s="1"/>
  <c r="G26" i="80"/>
  <c r="N53" i="1"/>
  <c r="E62" i="1" s="1"/>
  <c r="N52" i="1"/>
  <c r="G15" i="80"/>
  <c r="G16" i="80" s="1"/>
  <c r="C53" i="80"/>
  <c r="C139" i="1"/>
  <c r="C17" i="65"/>
  <c r="G27" i="80" l="1"/>
  <c r="E66" i="1"/>
  <c r="E65" i="1"/>
  <c r="E64" i="1"/>
  <c r="C54" i="80"/>
  <c r="B16" i="77" l="1"/>
  <c r="C16" i="77"/>
  <c r="H17" i="80"/>
  <c r="J17" i="80" s="1"/>
  <c r="H53" i="80"/>
  <c r="H54" i="80" s="1"/>
  <c r="H16" i="80"/>
  <c r="J16" i="80" s="1"/>
  <c r="H15" i="80"/>
  <c r="J15" i="80" s="1"/>
  <c r="I97" i="80"/>
  <c r="J62" i="80"/>
  <c r="J61" i="80"/>
  <c r="J60" i="80"/>
  <c r="J59" i="80"/>
  <c r="G47" i="80"/>
  <c r="G48" i="80"/>
  <c r="G49" i="80"/>
  <c r="G50" i="80"/>
  <c r="G46" i="80"/>
  <c r="J76" i="80"/>
  <c r="J75" i="80"/>
  <c r="J78" i="80" s="1"/>
  <c r="J80" i="80" s="1"/>
  <c r="D54" i="80"/>
  <c r="E54" i="80" s="1"/>
  <c r="E53" i="80"/>
  <c r="E50" i="80"/>
  <c r="J50" i="80" s="1"/>
  <c r="E49" i="80"/>
  <c r="E48" i="80"/>
  <c r="J48" i="80" s="1"/>
  <c r="E47" i="80"/>
  <c r="J47" i="80" s="1"/>
  <c r="E46" i="80"/>
  <c r="E45" i="80"/>
  <c r="J45" i="80" s="1"/>
  <c r="J40" i="80"/>
  <c r="J36" i="80"/>
  <c r="G25" i="80"/>
  <c r="D25" i="80"/>
  <c r="E25" i="80" s="1"/>
  <c r="H14" i="80"/>
  <c r="J14" i="80" s="1"/>
  <c r="F7" i="80"/>
  <c r="G7" i="80" s="1"/>
  <c r="H7" i="80" s="1"/>
  <c r="J7" i="80" s="1"/>
  <c r="H25" i="80" l="1"/>
  <c r="J25" i="80" s="1"/>
  <c r="J49" i="80"/>
  <c r="J18" i="80"/>
  <c r="J46" i="80"/>
  <c r="E28" i="80"/>
  <c r="J66" i="80"/>
  <c r="J54" i="80"/>
  <c r="J53" i="80"/>
  <c r="J9" i="80"/>
  <c r="J55" i="80" l="1"/>
  <c r="J19" i="80"/>
  <c r="J67" i="80"/>
  <c r="G139" i="1" l="1"/>
  <c r="D27" i="66" l="1"/>
  <c r="F27" i="66" s="1"/>
  <c r="C57" i="66" l="1"/>
  <c r="B6" i="78" l="1"/>
  <c r="C15" i="77"/>
  <c r="B15" i="77"/>
  <c r="C14" i="77"/>
  <c r="B14" i="77"/>
  <c r="A6" i="77"/>
  <c r="Q53" i="1" l="1"/>
  <c r="D53" i="1" s="1"/>
  <c r="Q52" i="1"/>
  <c r="D52" i="1" s="1"/>
  <c r="I36" i="66"/>
  <c r="F26" i="80" l="1"/>
  <c r="I37" i="66"/>
  <c r="F14" i="77"/>
  <c r="C66" i="66"/>
  <c r="R102" i="1"/>
  <c r="T102" i="1" s="1"/>
  <c r="R101" i="1"/>
  <c r="T101" i="1" s="1"/>
  <c r="R100" i="1"/>
  <c r="T100" i="1" s="1"/>
  <c r="T99" i="1"/>
  <c r="R98" i="1"/>
  <c r="T98" i="1" s="1"/>
  <c r="R97" i="1"/>
  <c r="T97" i="1" s="1"/>
  <c r="R96" i="1"/>
  <c r="T96" i="1" s="1"/>
  <c r="R95" i="1"/>
  <c r="T95" i="1" s="1"/>
  <c r="R94" i="1"/>
  <c r="T94" i="1" s="1"/>
  <c r="R93" i="1"/>
  <c r="T93" i="1" s="1"/>
  <c r="E89" i="1"/>
  <c r="B49" i="1"/>
  <c r="I17" i="65"/>
  <c r="E38" i="66"/>
  <c r="E37" i="66"/>
  <c r="F86" i="66"/>
  <c r="F85" i="66"/>
  <c r="G85" i="66" s="1"/>
  <c r="G84" i="66"/>
  <c r="F50" i="66"/>
  <c r="F27" i="80" l="1"/>
  <c r="H27" i="80" s="1"/>
  <c r="J27" i="80" s="1"/>
  <c r="H26" i="80"/>
  <c r="J26" i="80" s="1"/>
  <c r="E36" i="66"/>
  <c r="E53" i="1"/>
  <c r="E54" i="1"/>
  <c r="E52" i="1"/>
  <c r="K52" i="1"/>
  <c r="I38" i="66"/>
  <c r="F28" i="80" s="1"/>
  <c r="H28" i="80" s="1"/>
  <c r="J28" i="80" s="1"/>
  <c r="J29" i="80" s="1"/>
  <c r="J41" i="80" s="1"/>
  <c r="J69" i="80" s="1"/>
  <c r="J90" i="80" s="1"/>
  <c r="J93" i="80" s="1"/>
  <c r="J96" i="80" s="1"/>
  <c r="J97" i="80" s="1"/>
  <c r="J100" i="80" s="1"/>
  <c r="E16" i="45" s="1"/>
  <c r="F16" i="45" s="1"/>
  <c r="A89" i="72" l="1"/>
  <c r="A49" i="70"/>
  <c r="A57" i="65"/>
  <c r="B107" i="66"/>
  <c r="B157" i="1"/>
  <c r="C90" i="1"/>
  <c r="D28" i="66"/>
  <c r="C28" i="66"/>
  <c r="D26" i="66"/>
  <c r="C26" i="66"/>
  <c r="E101" i="66"/>
  <c r="E153" i="1"/>
  <c r="F19" i="66" l="1"/>
  <c r="G19" i="66" s="1"/>
  <c r="C14" i="66"/>
  <c r="C15" i="66"/>
  <c r="E53" i="65"/>
  <c r="G27" i="66" l="1"/>
  <c r="G28" i="66" s="1"/>
  <c r="I28" i="66" s="1"/>
  <c r="F28" i="66"/>
  <c r="C30" i="66"/>
  <c r="C80" i="1" s="1"/>
  <c r="E80" i="1" s="1"/>
  <c r="F80" i="1" s="1"/>
  <c r="D30" i="66"/>
  <c r="F20" i="66"/>
  <c r="G20" i="66" s="1"/>
  <c r="F22" i="66"/>
  <c r="G22" i="66" s="1"/>
  <c r="F21" i="66"/>
  <c r="G21" i="66" s="1"/>
  <c r="E18" i="65"/>
  <c r="E85" i="1"/>
  <c r="F85" i="1" s="1"/>
  <c r="C89" i="1" s="1"/>
  <c r="G89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72" i="1"/>
  <c r="F72" i="1" s="1"/>
  <c r="U109" i="1"/>
  <c r="T109" i="1"/>
  <c r="T108" i="1"/>
  <c r="V108" i="1" s="1"/>
  <c r="K53" i="1"/>
  <c r="D33" i="1"/>
  <c r="E33" i="1" s="1"/>
  <c r="G33" i="1" s="1"/>
  <c r="V109" i="1" l="1"/>
  <c r="V110" i="1" s="1"/>
  <c r="F23" i="66"/>
  <c r="G23" i="66" s="1"/>
  <c r="F18" i="65"/>
  <c r="G18" i="65" s="1"/>
  <c r="K18" i="65" s="1"/>
  <c r="M18" i="65" s="1"/>
  <c r="C88" i="1"/>
  <c r="F24" i="66" l="1"/>
  <c r="F25" i="66"/>
  <c r="G25" i="66" s="1"/>
  <c r="G24" i="66" l="1"/>
  <c r="G26" i="66" s="1"/>
  <c r="I26" i="66" s="1"/>
  <c r="I30" i="66" s="1"/>
  <c r="L36" i="66" s="1"/>
  <c r="F26" i="66"/>
  <c r="F30" i="66" s="1"/>
  <c r="G89" i="66" l="1"/>
  <c r="E49" i="66"/>
  <c r="G30" i="66"/>
  <c r="G104" i="66" s="1"/>
  <c r="E43" i="65"/>
  <c r="F43" i="65" s="1"/>
  <c r="E41" i="65"/>
  <c r="F41" i="65" s="1"/>
  <c r="E40" i="65"/>
  <c r="F40" i="65" s="1"/>
  <c r="D40" i="65" s="1"/>
  <c r="F38" i="65"/>
  <c r="E38" i="65"/>
  <c r="E39" i="65" s="1"/>
  <c r="F39" i="65" s="1"/>
  <c r="D39" i="65" s="1"/>
  <c r="E37" i="65"/>
  <c r="F37" i="65" s="1"/>
  <c r="D37" i="65" s="1"/>
  <c r="F36" i="65"/>
  <c r="D15" i="45" l="1"/>
  <c r="D15" i="77"/>
  <c r="F15" i="77" s="1"/>
  <c r="F17" i="77" s="1"/>
  <c r="D38" i="65"/>
  <c r="F44" i="65"/>
  <c r="F50" i="65" s="1"/>
  <c r="D36" i="65"/>
  <c r="E21" i="65" l="1"/>
  <c r="F21" i="65" l="1"/>
  <c r="G21" i="65" s="1"/>
  <c r="K21" i="65" s="1"/>
  <c r="M21" i="65" s="1"/>
  <c r="D35" i="70" l="1"/>
  <c r="D28" i="70"/>
  <c r="D41" i="70" l="1"/>
  <c r="F41" i="70" s="1"/>
  <c r="F35" i="70"/>
  <c r="D44" i="70"/>
  <c r="D18" i="70"/>
  <c r="F18" i="70" s="1"/>
  <c r="D46" i="70" l="1"/>
  <c r="D45" i="70"/>
  <c r="F28" i="70"/>
  <c r="D43" i="70"/>
  <c r="F66" i="1"/>
  <c r="G66" i="1" s="1"/>
  <c r="F65" i="1"/>
  <c r="G65" i="1" s="1"/>
  <c r="F64" i="1"/>
  <c r="G64" i="1" s="1"/>
  <c r="F63" i="1"/>
  <c r="F62" i="1"/>
  <c r="G62" i="1" s="1"/>
  <c r="F61" i="1"/>
  <c r="F60" i="1"/>
  <c r="F51" i="66"/>
  <c r="F49" i="66"/>
  <c r="F48" i="66"/>
  <c r="F47" i="66"/>
  <c r="F46" i="66"/>
  <c r="F45" i="66"/>
  <c r="F44" i="66"/>
  <c r="D47" i="70" l="1"/>
  <c r="G49" i="66"/>
  <c r="G86" i="66" l="1"/>
  <c r="N56" i="1" l="1"/>
  <c r="I14" i="45" s="1"/>
  <c r="E60" i="1" l="1"/>
  <c r="E63" i="1" s="1"/>
  <c r="G63" i="1" s="1"/>
  <c r="E61" i="1"/>
  <c r="G61" i="1" s="1"/>
  <c r="G60" i="1"/>
  <c r="G67" i="1" l="1"/>
  <c r="B32" i="65" l="1"/>
  <c r="F49" i="65" s="1"/>
  <c r="E19" i="65"/>
  <c r="F19" i="65" s="1"/>
  <c r="E20" i="65"/>
  <c r="F20" i="65" s="1"/>
  <c r="G20" i="65" l="1"/>
  <c r="K20" i="65" s="1"/>
  <c r="M20" i="65" s="1"/>
  <c r="G19" i="65"/>
  <c r="K19" i="65" s="1"/>
  <c r="M19" i="65" s="1"/>
  <c r="E17" i="65"/>
  <c r="F17" i="65" s="1"/>
  <c r="G17" i="65" l="1"/>
  <c r="K17" i="65" l="1"/>
  <c r="M17" i="65" s="1"/>
  <c r="M22" i="65" l="1"/>
  <c r="F48" i="65" s="1"/>
  <c r="F51" i="65" s="1"/>
  <c r="F52" i="65" l="1"/>
  <c r="F151" i="1" s="1"/>
  <c r="F53" i="65"/>
  <c r="G99" i="66" s="1"/>
  <c r="E86" i="66" l="1"/>
  <c r="E84" i="66"/>
  <c r="E85" i="66"/>
  <c r="G75" i="66"/>
  <c r="G73" i="66"/>
  <c r="E73" i="66" s="1"/>
  <c r="F78" i="66"/>
  <c r="G78" i="66" s="1"/>
  <c r="F77" i="66"/>
  <c r="G77" i="66" s="1"/>
  <c r="E77" i="66" s="1"/>
  <c r="F75" i="66"/>
  <c r="F76" i="66" s="1"/>
  <c r="G76" i="66" s="1"/>
  <c r="F74" i="66"/>
  <c r="G74" i="66" s="1"/>
  <c r="E74" i="66" s="1"/>
  <c r="L39" i="66"/>
  <c r="F37" i="66"/>
  <c r="F66" i="66"/>
  <c r="F65" i="66"/>
  <c r="F64" i="66"/>
  <c r="F63" i="66"/>
  <c r="F62" i="66"/>
  <c r="D39" i="66"/>
  <c r="F38" i="66"/>
  <c r="G38" i="66" s="1"/>
  <c r="E62" i="66" l="1"/>
  <c r="E63" i="66" s="1"/>
  <c r="E64" i="66" s="1"/>
  <c r="E65" i="66" s="1"/>
  <c r="E66" i="66" s="1"/>
  <c r="G66" i="66" s="1"/>
  <c r="I15" i="45"/>
  <c r="I17" i="45" s="1"/>
  <c r="E48" i="66"/>
  <c r="G48" i="66" s="1"/>
  <c r="E47" i="66"/>
  <c r="G47" i="66" s="1"/>
  <c r="E44" i="66"/>
  <c r="G37" i="66"/>
  <c r="H37" i="66" s="1"/>
  <c r="K37" i="66" s="1"/>
  <c r="M37" i="66" s="1"/>
  <c r="G88" i="66"/>
  <c r="E76" i="66"/>
  <c r="E75" i="66"/>
  <c r="E39" i="66"/>
  <c r="F36" i="66"/>
  <c r="G36" i="66" s="1"/>
  <c r="H38" i="66"/>
  <c r="K38" i="66" s="1"/>
  <c r="M38" i="66" s="1"/>
  <c r="G62" i="66" l="1"/>
  <c r="G65" i="66"/>
  <c r="G64" i="66"/>
  <c r="G63" i="66"/>
  <c r="E46" i="66"/>
  <c r="G46" i="66" s="1"/>
  <c r="E50" i="66"/>
  <c r="G50" i="66" s="1"/>
  <c r="E51" i="66"/>
  <c r="G51" i="66" s="1"/>
  <c r="G90" i="66"/>
  <c r="E45" i="66"/>
  <c r="G45" i="66" s="1"/>
  <c r="G44" i="66"/>
  <c r="G39" i="66"/>
  <c r="F39" i="66"/>
  <c r="G67" i="66" l="1"/>
  <c r="G96" i="66" s="1"/>
  <c r="G52" i="66"/>
  <c r="G94" i="66" s="1"/>
  <c r="G88" i="1"/>
  <c r="F114" i="1" s="1"/>
  <c r="H36" i="66"/>
  <c r="G57" i="66" l="1"/>
  <c r="G90" i="1"/>
  <c r="H39" i="66"/>
  <c r="K36" i="66"/>
  <c r="G58" i="66" l="1"/>
  <c r="K39" i="66"/>
  <c r="M36" i="66"/>
  <c r="G95" i="66" l="1"/>
  <c r="F79" i="66"/>
  <c r="G79" i="66" s="1"/>
  <c r="G80" i="66" s="1"/>
  <c r="G97" i="66" s="1"/>
  <c r="M39" i="66"/>
  <c r="G93" i="66" s="1"/>
  <c r="G98" i="66" l="1"/>
  <c r="G100" i="66" s="1"/>
  <c r="G101" i="66" s="1"/>
  <c r="G102" i="66" l="1"/>
  <c r="P102" i="66" s="1"/>
  <c r="G140" i="1"/>
  <c r="F138" i="1"/>
  <c r="G138" i="1" s="1"/>
  <c r="F137" i="1"/>
  <c r="G137" i="1" s="1"/>
  <c r="E137" i="1" s="1"/>
  <c r="G135" i="1"/>
  <c r="F135" i="1"/>
  <c r="F136" i="1" s="1"/>
  <c r="G136" i="1" s="1"/>
  <c r="E136" i="1" s="1"/>
  <c r="F134" i="1"/>
  <c r="G134" i="1" s="1"/>
  <c r="E134" i="1" s="1"/>
  <c r="G133" i="1"/>
  <c r="E133" i="1" s="1"/>
  <c r="F109" i="1"/>
  <c r="G108" i="1"/>
  <c r="E108" i="1" s="1"/>
  <c r="F110" i="1"/>
  <c r="G110" i="1"/>
  <c r="G105" i="66" l="1"/>
  <c r="E15" i="45" s="1"/>
  <c r="F15" i="45" s="1"/>
  <c r="G109" i="1"/>
  <c r="E109" i="1" s="1"/>
  <c r="F120" i="1"/>
  <c r="E110" i="1"/>
  <c r="E135" i="1"/>
  <c r="G141" i="1"/>
  <c r="F121" i="1" l="1"/>
  <c r="G121" i="1" s="1"/>
  <c r="E121" i="1" s="1"/>
  <c r="G120" i="1"/>
  <c r="G122" i="1"/>
  <c r="F122" i="1"/>
  <c r="F123" i="1" s="1"/>
  <c r="F100" i="1"/>
  <c r="E100" i="1"/>
  <c r="F99" i="1"/>
  <c r="E99" i="1"/>
  <c r="F98" i="1"/>
  <c r="E98" i="1"/>
  <c r="G123" i="1" l="1"/>
  <c r="E123" i="1" s="1"/>
  <c r="E122" i="1"/>
  <c r="E120" i="1"/>
  <c r="G100" i="1"/>
  <c r="G98" i="1"/>
  <c r="G99" i="1"/>
  <c r="G126" i="1" l="1"/>
  <c r="G102" i="1"/>
  <c r="F148" i="1" s="1"/>
  <c r="G114" i="1" l="1"/>
  <c r="F113" i="1"/>
  <c r="G113" i="1" s="1"/>
  <c r="F112" i="1"/>
  <c r="F111" i="1"/>
  <c r="G53" i="1"/>
  <c r="H53" i="1" s="1"/>
  <c r="G54" i="1"/>
  <c r="H54" i="1" s="1"/>
  <c r="G52" i="1"/>
  <c r="H52" i="1" s="1"/>
  <c r="G112" i="1" l="1"/>
  <c r="E112" i="1" s="1"/>
  <c r="G111" i="1"/>
  <c r="E111" i="1" s="1"/>
  <c r="G91" i="1"/>
  <c r="F146" i="1"/>
  <c r="I53" i="1"/>
  <c r="M53" i="1" s="1"/>
  <c r="O53" i="1" s="1"/>
  <c r="I54" i="1"/>
  <c r="M54" i="1" s="1"/>
  <c r="O54" i="1" s="1"/>
  <c r="F147" i="1" l="1"/>
  <c r="G115" i="1"/>
  <c r="F149" i="1" s="1"/>
  <c r="I52" i="1"/>
  <c r="M52" i="1" s="1"/>
  <c r="O52" i="1" s="1"/>
  <c r="O56" i="1" l="1"/>
  <c r="F145" i="1" l="1"/>
  <c r="F150" i="1" l="1"/>
  <c r="F152" i="1" l="1"/>
  <c r="F153" i="1" s="1"/>
  <c r="F154" i="1" s="1"/>
  <c r="E14" i="45" l="1"/>
  <c r="F14" i="45" s="1"/>
  <c r="F18" i="45" l="1"/>
  <c r="N18" i="45" s="1"/>
  <c r="N14" i="45"/>
</calcChain>
</file>

<file path=xl/sharedStrings.xml><?xml version="1.0" encoding="utf-8"?>
<sst xmlns="http://schemas.openxmlformats.org/spreadsheetml/2006/main" count="1459" uniqueCount="440">
  <si>
    <t>TOTAL</t>
  </si>
  <si>
    <t>SERVIÇO</t>
  </si>
  <si>
    <t>ITEM</t>
  </si>
  <si>
    <t>DESCRIMINAÇÃO</t>
  </si>
  <si>
    <t>UNID.</t>
  </si>
  <si>
    <t>SUB-TOTAL</t>
  </si>
  <si>
    <t xml:space="preserve">LOCAL: </t>
  </si>
  <si>
    <t>ESTIMATIVA DE CUSTO</t>
  </si>
  <si>
    <t>DATA:</t>
  </si>
  <si>
    <t>VT</t>
  </si>
  <si>
    <t>DESCRIÇÃO</t>
  </si>
  <si>
    <t>QUANT. MENSAL</t>
  </si>
  <si>
    <t>AUXILIAR ADMINISTRATIVO</t>
  </si>
  <si>
    <t>QUANT</t>
  </si>
  <si>
    <t>RESERVA TÉCNICA = 10% DA FROTA</t>
  </si>
  <si>
    <t>QTDE</t>
  </si>
  <si>
    <t>DADOS DO MUNICÍPIO</t>
  </si>
  <si>
    <t>hab</t>
  </si>
  <si>
    <t>1 - CÁLCULO DE SALÁRIOS</t>
  </si>
  <si>
    <t>FUNÇÃO</t>
  </si>
  <si>
    <t>% AD.INSAL.</t>
  </si>
  <si>
    <t>ADIC. NOT. 20%</t>
  </si>
  <si>
    <t>TOTAL C/ ENCARGOS</t>
  </si>
  <si>
    <t>VR</t>
  </si>
  <si>
    <t>SEG VIDA</t>
  </si>
  <si>
    <t>TOTAL C/ BENEFÍCIOS</t>
  </si>
  <si>
    <t>VALOR MENSAL</t>
  </si>
  <si>
    <t>UNIFORME/EPI</t>
  </si>
  <si>
    <t>QTDE no ano</t>
  </si>
  <si>
    <t>P.UNIT</t>
  </si>
  <si>
    <t>TOTAL/MÊS</t>
  </si>
  <si>
    <t>DIESEL</t>
  </si>
  <si>
    <t>UNID</t>
  </si>
  <si>
    <t>% MENSAL</t>
  </si>
  <si>
    <t>BASE CÁLCULO</t>
  </si>
  <si>
    <t>CUSTO MÊS</t>
  </si>
  <si>
    <t>%</t>
  </si>
  <si>
    <t>Juros de capital</t>
  </si>
  <si>
    <t>Depreciação</t>
  </si>
  <si>
    <t>Manutenção</t>
  </si>
  <si>
    <t>Pneus e câmaras</t>
  </si>
  <si>
    <t>Óleos/lubrificantes/filtros</t>
  </si>
  <si>
    <t xml:space="preserve">VT </t>
  </si>
  <si>
    <t>RESUMO</t>
  </si>
  <si>
    <t>1 - PESSOAL</t>
  </si>
  <si>
    <t>2 - UNIFORME E EPI</t>
  </si>
  <si>
    <t>TOTAL MÊS</t>
  </si>
  <si>
    <t>Cone sinalização 05/caminhão</t>
  </si>
  <si>
    <t>Vassoura 02/caminhão</t>
  </si>
  <si>
    <t>Pá com cabo 02/caminhão</t>
  </si>
  <si>
    <t>3 - COMBUSTÍVEL</t>
  </si>
  <si>
    <t>4 - FERRAMENTAL</t>
  </si>
  <si>
    <t>DEP =(((1 - VR)/100) x VN)/12</t>
  </si>
  <si>
    <t>Rc = (((VU + 1) x VN)/(2 x VU)) x i/12</t>
  </si>
  <si>
    <t>Qk – quantidade de quilômetros rodados por dia (km)</t>
  </si>
  <si>
    <t>l – consumo de combustível (l/km)</t>
  </si>
  <si>
    <t>p – preço do combustível (R$)</t>
  </si>
  <si>
    <t>CM = (VN x K)/(VU x 12)</t>
  </si>
  <si>
    <t>L =((VU + 1) x VN x 0,025)/ (2 x VU x 12)</t>
  </si>
  <si>
    <t>Seguro extra (4% ao ano)</t>
  </si>
  <si>
    <t>C= 0,5 % x VN</t>
  </si>
  <si>
    <t>C = Vcomb x 10%</t>
  </si>
  <si>
    <t>Lic/IPVA/Seguro Obrigatório</t>
  </si>
  <si>
    <t>5 - VEÍCULOS</t>
  </si>
  <si>
    <t>Vassourão</t>
  </si>
  <si>
    <t>Vassoura 02/mês</t>
  </si>
  <si>
    <t>Pá quadrada com cabo (02 por lutocar)</t>
  </si>
  <si>
    <t>Ancinho com cabo (02 por lutocar)</t>
  </si>
  <si>
    <t>Moto</t>
  </si>
  <si>
    <t>MOTOCICLETA HONDA CG 150 - VALOR R$ 7.950,00 - VU 60 MESES - VR 20% TX SELIC 0,79%</t>
  </si>
  <si>
    <t>MEMÓRIA DE CÁLCULO - VARRIÇÃO</t>
  </si>
  <si>
    <t>1 - SALÁRIOS (CUSTO COM MÃO-DE-OBRA)</t>
  </si>
  <si>
    <t>DIMENSIONAMENTO DA FROTA/EQUIPES</t>
  </si>
  <si>
    <t xml:space="preserve">SALÁRIO </t>
  </si>
  <si>
    <t>CONSUMO</t>
  </si>
  <si>
    <t>PREÇO COMB R$</t>
  </si>
  <si>
    <t>DIST. RODADA MÊS KM</t>
  </si>
  <si>
    <t>5.1 - MOTOCICLETA</t>
  </si>
  <si>
    <t>DISTÂNCIA DO ATERRO</t>
  </si>
  <si>
    <t>KM</t>
  </si>
  <si>
    <t>Dep= ((1- VR)/100)/VU) x VL/12</t>
  </si>
  <si>
    <t>Rc = ((((VU + 1) x VN)/(2 x VU)) x i)/12</t>
  </si>
  <si>
    <t>CM = (0,65 x VL)/(VU x 12)</t>
  </si>
  <si>
    <t xml:space="preserve">ADIC. INSAL. 40% </t>
  </si>
  <si>
    <t>3 - COMBUSTIVEL</t>
  </si>
  <si>
    <t xml:space="preserve">MEMÓRIA DE CÁLCULO - ADMINISTRAÇÃO LOCAL / CANTEIRO </t>
  </si>
  <si>
    <t>2 - DESPESAS DE CANTEIRO</t>
  </si>
  <si>
    <t>VALOR</t>
  </si>
  <si>
    <t>AGUA/LUZ/TELEFONE</t>
  </si>
  <si>
    <t>MAT. ESCRITÓRIO</t>
  </si>
  <si>
    <t>DESPESAS DE VIAGEM</t>
  </si>
  <si>
    <t>PREÇO UNITÁRIO</t>
  </si>
  <si>
    <t>QUANTIDADE DE LIXO COLETADA</t>
  </si>
  <si>
    <t>DIAS NO MÊS</t>
  </si>
  <si>
    <t>SUBTOTAL MENSAL</t>
  </si>
  <si>
    <t>DESPESAS COM CANTEIRO E ADMINISTRAÇÃO LOCAL</t>
  </si>
  <si>
    <t>TOTAL MENSAL SEM B.D.I</t>
  </si>
  <si>
    <t>TOTAL GERAL MENSAL</t>
  </si>
  <si>
    <t>TOTAL DE QUILOMETROS / SARGETA MÊS</t>
  </si>
  <si>
    <t>VALOR UNITÁRIO DA VARRIÇÃO</t>
  </si>
  <si>
    <t>PLANILHA DE QUANTIDADE E PREÇOS</t>
  </si>
  <si>
    <t>2.0</t>
  </si>
  <si>
    <t>2 - CÁLCULO DE UNIFORME E EPI</t>
  </si>
  <si>
    <t>4 - FERRAMENTAL (1 jogo por caminhão) / OUTROS</t>
  </si>
  <si>
    <t>Despesas com Lavajato</t>
  </si>
  <si>
    <t>Seg extra = 4% x VU / 12</t>
  </si>
  <si>
    <t xml:space="preserve">Seg extra = 4% x VU / 12 </t>
  </si>
  <si>
    <r>
      <t>Seg extra = 4% x VU / 12 -</t>
    </r>
    <r>
      <rPr>
        <b/>
        <sz val="10"/>
        <color rgb="FFFF0000"/>
        <rFont val="Arial"/>
        <family val="2"/>
      </rPr>
      <t xml:space="preserve"> </t>
    </r>
  </si>
  <si>
    <t xml:space="preserve">ADIC. INSAL.  </t>
  </si>
  <si>
    <t>Camisa</t>
  </si>
  <si>
    <t>Boné p/gari</t>
  </si>
  <si>
    <t>Bota antiderrapante</t>
  </si>
  <si>
    <t>Luva de raspa p/ gari coletor</t>
  </si>
  <si>
    <t>COMISSÃO DE LICITAÇÃO</t>
  </si>
  <si>
    <t>Gari Carrinheiro</t>
  </si>
  <si>
    <t>Calça Jeans (1 + 5/rep)</t>
  </si>
  <si>
    <t>Camisa (1 + 5/rep)</t>
  </si>
  <si>
    <t>Boné p/gari (1 + 2/rep)</t>
  </si>
  <si>
    <t>Bota antiderrap(1 + 2/rep)</t>
  </si>
  <si>
    <t>Capa de chuva (1 + 2/rep)</t>
  </si>
  <si>
    <t>Colete reflexivo tipo X (1 + 2/rep)</t>
  </si>
  <si>
    <t>QTDE FUNCIONARIOS</t>
  </si>
  <si>
    <t>Calça Brim</t>
  </si>
  <si>
    <t>Capa de chuva</t>
  </si>
  <si>
    <t xml:space="preserve">Colete reflexivo tipo X </t>
  </si>
  <si>
    <t>COMPOSIÇÃO DOS ENCARGOS SOCIAIS</t>
  </si>
  <si>
    <t>GRUPO A</t>
  </si>
  <si>
    <t>A</t>
  </si>
  <si>
    <t>a.1</t>
  </si>
  <si>
    <t>INSS</t>
  </si>
  <si>
    <t>a.2</t>
  </si>
  <si>
    <t>FGTS</t>
  </si>
  <si>
    <t>a.3</t>
  </si>
  <si>
    <t>a.4</t>
  </si>
  <si>
    <t>SALARIO EDUCAÇÃO</t>
  </si>
  <si>
    <t>a.5</t>
  </si>
  <si>
    <t>a.6</t>
  </si>
  <si>
    <t>a.7</t>
  </si>
  <si>
    <t>SEBRAE</t>
  </si>
  <si>
    <t>a.8</t>
  </si>
  <si>
    <t>INCRA</t>
  </si>
  <si>
    <t xml:space="preserve">Total </t>
  </si>
  <si>
    <t>GRUPO B</t>
  </si>
  <si>
    <t>B</t>
  </si>
  <si>
    <t>b.1</t>
  </si>
  <si>
    <t>b.2</t>
  </si>
  <si>
    <t>b.3</t>
  </si>
  <si>
    <t>b.4</t>
  </si>
  <si>
    <t>Total</t>
  </si>
  <si>
    <t>GRUPO C</t>
  </si>
  <si>
    <t>C</t>
  </si>
  <si>
    <t>c.1</t>
  </si>
  <si>
    <t>c.2</t>
  </si>
  <si>
    <t>13º SALARIO</t>
  </si>
  <si>
    <t>c.3</t>
  </si>
  <si>
    <t>AVISO PREVIO TRABALHADO</t>
  </si>
  <si>
    <t>GRUPO D</t>
  </si>
  <si>
    <t>D</t>
  </si>
  <si>
    <t>d.1</t>
  </si>
  <si>
    <t>d.3</t>
  </si>
  <si>
    <t>CONTRIBUIÇÃO SOCIAL (Art. 1º LEI 110/91)</t>
  </si>
  <si>
    <t xml:space="preserve">INDENIZAÇÃO ADICIONAL </t>
  </si>
  <si>
    <t>GRUPO  A</t>
  </si>
  <si>
    <t>GRUPO  B</t>
  </si>
  <si>
    <t>GRUPO  C</t>
  </si>
  <si>
    <t>GRUPO  D</t>
  </si>
  <si>
    <t>ENC. SOCIAIS  75,89%</t>
  </si>
  <si>
    <t>GESTOR</t>
  </si>
  <si>
    <t xml:space="preserve">ALUGUEL </t>
  </si>
  <si>
    <t>P.PROP. MÊS</t>
  </si>
  <si>
    <t>ENCARGOS SOCIAIS BÁSICOS</t>
  </si>
  <si>
    <t>SESI</t>
  </si>
  <si>
    <t>SENAI</t>
  </si>
  <si>
    <t>SEGURO CONTRA ACIDENTE DO TRABALHO INSS</t>
  </si>
  <si>
    <t>a.9</t>
  </si>
  <si>
    <t>SECONCI</t>
  </si>
  <si>
    <t>ENCARGOS TRABALHISTAS</t>
  </si>
  <si>
    <t>AUXILIO ENFERMIDADE</t>
  </si>
  <si>
    <t>AUXILIO ACIDENTE</t>
  </si>
  <si>
    <t>LICENÇA PATERNIDADE</t>
  </si>
  <si>
    <t>LICENÇA MATERNIDADE</t>
  </si>
  <si>
    <t>FALTAS JUSTIFICADAS</t>
  </si>
  <si>
    <t>b.5</t>
  </si>
  <si>
    <t>FÉRIAS + 1/3</t>
  </si>
  <si>
    <t>b.6</t>
  </si>
  <si>
    <t>b.7</t>
  </si>
  <si>
    <t>ENCARGOS INDENIZATÓRIOS</t>
  </si>
  <si>
    <t>AVISO PREVIO INDENIZADO</t>
  </si>
  <si>
    <t>MULTA POR RESCISÃO DO CONTRATO DE TRABALHO SEM JUSTA CAUSA</t>
  </si>
  <si>
    <t>c.4</t>
  </si>
  <si>
    <t>INCIDENCIAS CUMULATIVAS</t>
  </si>
  <si>
    <t>INCIDENCIA DO GRUPO "A" SOBRE "B"</t>
  </si>
  <si>
    <t>INCIDENCIA DE FGTS SOBRE O AVISO PRÉVIO</t>
  </si>
  <si>
    <t>d.2</t>
  </si>
  <si>
    <t>POPULAÇÃO CENSO IBGE 2010</t>
  </si>
  <si>
    <t>5.3 -VEICULO DE APOIO</t>
  </si>
  <si>
    <t>ENGENHEIRO RESPONSÁVEL TÉCNICO</t>
  </si>
  <si>
    <t xml:space="preserve">CARRO UTILITÁRIO SAVEIRO OU SIMILAR, SEMI NOVO </t>
  </si>
  <si>
    <t>Combustivel</t>
  </si>
  <si>
    <t>Li</t>
  </si>
  <si>
    <t>GASOLINA</t>
  </si>
  <si>
    <t>Caminhão Compactador</t>
  </si>
  <si>
    <t>3 -VEICULO DE APOIO  (GESTOR)</t>
  </si>
  <si>
    <t>TOTAL MENSAL R$</t>
  </si>
  <si>
    <t>Comprimento das Ruas</t>
  </si>
  <si>
    <t>Metros</t>
  </si>
  <si>
    <t>Comprimento das Sarjetas</t>
  </si>
  <si>
    <t>Conforme Resolução 99/2016, Tabela 04, pagina 13</t>
  </si>
  <si>
    <t>LIXO GERADO POR HABITANTE / DIA</t>
  </si>
  <si>
    <t>POPULAÇÃO (IBGE 2017)</t>
  </si>
  <si>
    <t>LIXO GERADO POR DIA (Kg)</t>
  </si>
  <si>
    <t>TOTAL LIXO COLETADO MÊS (Toneladas)</t>
  </si>
  <si>
    <r>
      <t>A população está na transição entre a faixa de 5 a 10 mil e de 10 a 20 mil, portanto,  vamos adotar a Geração per capita de RSU de</t>
    </r>
    <r>
      <rPr>
        <b/>
        <u/>
        <sz val="10"/>
        <rFont val="Arial"/>
        <family val="2"/>
      </rPr>
      <t xml:space="preserve"> 0,52 Kg/Hab.Dia, lembrando que na Tabela 13 (Sudoeste Goiano) sugere um indice de 0,50 Kg/Hab.Dia para Montividiu, para a população do Censo de 2010</t>
    </r>
  </si>
  <si>
    <t>CAMINHÃO DE 8 M3 a 15 M3</t>
  </si>
  <si>
    <t>Observação: A Resolução 99/2016 do TCM-GO traz a informação quanto a capacidade real, utiliza-se normalmente 70% da nominal,  portanto, o dimensionamento está adequado.</t>
  </si>
  <si>
    <t xml:space="preserve">(formula estabelecida no Item 1.2.1 da Pagina 22 da Resolução 99/2016 TCM-GO) </t>
  </si>
  <si>
    <t>FROTA: EQUIPAMENTO NECESSÁRIO</t>
  </si>
  <si>
    <t xml:space="preserve">(formula estabelecida no Item 1.2.3 da Pagina 25 da Resolução 99/2016 TCM-GO) </t>
  </si>
  <si>
    <t xml:space="preserve">(formula estabelecida no Item 1.2.2 da Pagina 24 da Resolução 99/2016 TCM-GO) </t>
  </si>
  <si>
    <t>NUMERO DE COLETORES = Numero de Veículos por Turno x 3 Garis</t>
  </si>
  <si>
    <t>NUMERO DE MOTORISTA = Numero de Veículos por Turno x 1 Motorista</t>
  </si>
  <si>
    <t>MOTORISTA</t>
  </si>
  <si>
    <t xml:space="preserve">(formula estabelecida no Item 1.2.4 da Pagina 25 da Resolução 99/2016 TCM-GO) </t>
  </si>
  <si>
    <t>EQUIPE: COLABORADORES NECESSÁRIOS PARA A OPERAÇÃO</t>
  </si>
  <si>
    <t>NUMERO DE SUPERVISORES = Numero de Equipe por Turno</t>
  </si>
  <si>
    <t>SUPERVISOR</t>
  </si>
  <si>
    <t xml:space="preserve">(formula estabelecida no Item 1.2.5 da Pagina 25 da Resolução 99/2016 TCM-GO) </t>
  </si>
  <si>
    <t>COLETORES</t>
  </si>
  <si>
    <t>% ADICIONAL DE INSALUBRIDADE (S.M)</t>
  </si>
  <si>
    <t>ADIC. INSAL. (40% do Sal. Mínimo, Conf Art 193 da CLT)</t>
  </si>
  <si>
    <t>Frequência/ semana</t>
  </si>
  <si>
    <t>Km/semana</t>
  </si>
  <si>
    <t>Km/mês      (4,286 semanas)</t>
  </si>
  <si>
    <t>TOTAL DA COLETA (km)</t>
  </si>
  <si>
    <t>EIXO DAS RUAS (km)</t>
  </si>
  <si>
    <t>LOCALIDADE DO ATERRO (Lixão)</t>
  </si>
  <si>
    <t>Distância (km)</t>
  </si>
  <si>
    <t>Caminhão Compactador (rota de coleta)</t>
  </si>
  <si>
    <t>Distância Percorrida/mês (KM)</t>
  </si>
  <si>
    <t>Caminhão Compactador (Translado para Aterro)</t>
  </si>
  <si>
    <t>Comb = Qk x l x p x 25,25 dias  (formula para Km diario)</t>
  </si>
  <si>
    <t>Comb = Qk x l x p  (formula para Km mensal)</t>
  </si>
  <si>
    <t>Qk – quantidade de quilômetros rodados por mês (km)</t>
  </si>
  <si>
    <t xml:space="preserve">(formula estabelecida no Item 1.3.3 da Pagina 26 da Resolução 99/2016 TCM-GO) </t>
  </si>
  <si>
    <t>Veiculo de apoio (43 km/dia x 25,25 dias)</t>
  </si>
  <si>
    <t>LOCALIDADE DO SETOR DA COLETA</t>
  </si>
  <si>
    <t>3 - VEICULO DE APOIO (Inserido no custo da Coleta)</t>
  </si>
  <si>
    <t>Obs2: Deverá ser apresentado para a fiscalização, onde estará o Caminhão compactador reserva, em caso de reposição ao Compactador operacional principal</t>
  </si>
  <si>
    <t xml:space="preserve">CARRO UTILITÁRIO  SEMI-NOVO ACIMA DE 2015 , PREÇO R$ 38.000,00 </t>
  </si>
  <si>
    <t>RATEIO COLETA</t>
  </si>
  <si>
    <t>RATEIO VARRIÇÃO</t>
  </si>
  <si>
    <t>(Vide Resumo Geral, logo abaixo)</t>
  </si>
  <si>
    <t>LOCALIDADE DO SETOR DA VARRIÇÃO</t>
  </si>
  <si>
    <t>Extensão Sarjetas (Km)</t>
  </si>
  <si>
    <t>TOTAL DA VARRIÇÃO DIARIA (km)</t>
  </si>
  <si>
    <t>TOTAL DA VARRIÇÃO ALTERNADA (km)</t>
  </si>
  <si>
    <t>TOTAL DA VARRIÇÃO (km)</t>
  </si>
  <si>
    <t>Produtividade Adotada (Conf. Item 2.1 da Res. TCM-GO)</t>
  </si>
  <si>
    <t>Numero de Varredores = Km mensal/(25,25 x Produtividade)</t>
  </si>
  <si>
    <t>Frequência por semana</t>
  </si>
  <si>
    <t>Km por semana</t>
  </si>
  <si>
    <t>BDI Utilizado:</t>
  </si>
  <si>
    <t>Obs: A adoção da Tabela 1 - BDI PARA OBRAS DE EDIFICAÇÕES - AGETOP, segue as orientações do item 11.1 pagina 91 da Resulução 99 do TCM-GO</t>
  </si>
  <si>
    <t>PREÇO MENSAL MÁXIMO</t>
  </si>
  <si>
    <t>KM varrido</t>
  </si>
  <si>
    <t>Leis Sociais, conforme Anexo A, página 99 da Resolução 99 TCM-GO</t>
  </si>
  <si>
    <t>MEMÓRIA DE CÁLCULO - COLETA DOMICILIAR</t>
  </si>
  <si>
    <t xml:space="preserve"> Equipe completa com Compactadores, Coletores, Motoristas e demais insumos </t>
  </si>
  <si>
    <t>Operação de Coleta e transporte de resíduos sólidos domiciliares e comerciais.</t>
  </si>
  <si>
    <t>B.D.I ADOTADO AGETOP</t>
  </si>
  <si>
    <t>Motorista Diurno (base TCM )</t>
  </si>
  <si>
    <t>Coletor Diurno (base Convenção)</t>
  </si>
  <si>
    <t>Fiscal Operacional (base TCM)</t>
  </si>
  <si>
    <t>Vale Refeição (Convenção)</t>
  </si>
  <si>
    <t>Protetor solar</t>
  </si>
  <si>
    <t>VASSOURA (6 POR ANO)</t>
  </si>
  <si>
    <t>VASSOURÃO (6 POR ANO)</t>
  </si>
  <si>
    <t>PÁ QUADRADA (6 POR ANO)</t>
  </si>
  <si>
    <t>CARRINHO COLETOR (2 POR ANO)</t>
  </si>
  <si>
    <t>ENXADA (4 POR ANO)</t>
  </si>
  <si>
    <t>PICARETA (3 POR ANO)</t>
  </si>
  <si>
    <t>MALAS DE LIXO (1 POR MÊS)</t>
  </si>
  <si>
    <t>MOTOSERRA (2 POR ANO, POR GRUPO DE TRABALHO)</t>
  </si>
  <si>
    <t>CONE DE SINALIZAÇÃO (2 POR ANO)</t>
  </si>
  <si>
    <t>ANCINHO (2 POR ANO)</t>
  </si>
  <si>
    <t>CARRINHO LUTOCAR - VU 18 MESES - VR 10% - TX SELIC 0,79%</t>
  </si>
  <si>
    <t>Conforme manual TCM</t>
  </si>
  <si>
    <t>Gari Varredor/Carrinheiro (Diurno)</t>
  </si>
  <si>
    <t xml:space="preserve">QUANTIDADE </t>
  </si>
  <si>
    <t>QUANTIDADE DE LUTOCAR (EQUIPE DE 2 VARREDORES E 1 VARREDOR CARRINHEIRO)</t>
  </si>
  <si>
    <t>POPULAÇÃO ESTIMADA PELO IBGE PARA 2020</t>
  </si>
  <si>
    <t>SALÁRIO BASE</t>
  </si>
  <si>
    <t>Luva de raspa p/ gari coletor (1 + 11/rep)</t>
  </si>
  <si>
    <t>A quantidade de lixo gerada por dia é em média conforme tabela acima,  portanto, 1 (um) caminhão trabalha abaixo da capacidade de serviço, ou seja, com boa folga.</t>
  </si>
  <si>
    <t>Sacos plásticos 100lt (6 sacos dias)</t>
  </si>
  <si>
    <t>TOTAL PERCORRIDO</t>
  </si>
  <si>
    <t>NOME DA VIA</t>
  </si>
  <si>
    <t>PISTAS</t>
  </si>
  <si>
    <t>EXT. (M)</t>
  </si>
  <si>
    <t>EXT. T. (M)</t>
  </si>
  <si>
    <t>dom</t>
  </si>
  <si>
    <t>seg</t>
  </si>
  <si>
    <t>ter</t>
  </si>
  <si>
    <t>qua</t>
  </si>
  <si>
    <t>qui</t>
  </si>
  <si>
    <t>sex</t>
  </si>
  <si>
    <t>sáb</t>
  </si>
  <si>
    <t>VEZES</t>
  </si>
  <si>
    <t>Varrição (KM) MENSAL</t>
  </si>
  <si>
    <t>X</t>
  </si>
  <si>
    <t>MÊS:</t>
  </si>
  <si>
    <t xml:space="preserve">Medição de Varrição de Ruas - BOLETIM DE MEDIÇÃO Nº </t>
  </si>
  <si>
    <t>ENC. SOCIAIS  75,89%      (Sem Desoneração)</t>
  </si>
  <si>
    <t xml:space="preserve">SERVIÇOS: </t>
  </si>
  <si>
    <t>Conforme manual TCM e Convenção Coletiva de Trabalho 2021/2023</t>
  </si>
  <si>
    <t>RUAS DE VARRIÇÃO</t>
  </si>
  <si>
    <t>Obs1: Ano do Conjunto Caminhão Compactador reserva, conforme Anexo B pagina 102 da Resolução TCM-GO</t>
  </si>
  <si>
    <t>Obs: Ano do Conjunto Caminhão Compactador deverá ser compativel, conforme Anexo B pagina 102 da Resolução TCM-GO</t>
  </si>
  <si>
    <t xml:space="preserve">Serviços de Coleta de Residuos Solidos Domiciliares e Comerciais </t>
  </si>
  <si>
    <t>Secretaria</t>
  </si>
  <si>
    <t xml:space="preserve">1. CUSTO DE INVESTIMENTO </t>
  </si>
  <si>
    <t>1.1- VEÍCULOS E EQUIPAMENTOS</t>
  </si>
  <si>
    <t>TIPO</t>
  </si>
  <si>
    <t>FINALIDADE</t>
  </si>
  <si>
    <t>QUANT.</t>
  </si>
  <si>
    <t>ANO FABRIC.</t>
  </si>
  <si>
    <t>VALOR DE AQUISIÇÃO</t>
  </si>
  <si>
    <t>VALOR ATUAL (DEPREC.)</t>
  </si>
  <si>
    <t>CUSTO MENSAL UNIT.</t>
  </si>
  <si>
    <t>TOTAL MENSAL</t>
  </si>
  <si>
    <t>DEPREC.</t>
  </si>
  <si>
    <t>REM. CAP.</t>
  </si>
  <si>
    <t>VEÍCULO</t>
  </si>
  <si>
    <t>CAMINHÃO</t>
  </si>
  <si>
    <t>SUBTOTAL 1</t>
  </si>
  <si>
    <t>1.2- ROÇADEIRAS</t>
  </si>
  <si>
    <t>QUANTIDADE DE ROÇADEIRAS</t>
  </si>
  <si>
    <t>MESES (DEPREC.)</t>
  </si>
  <si>
    <t>ROÇADEIRA COSTAL</t>
  </si>
  <si>
    <t>ROÇAR</t>
  </si>
  <si>
    <t>SUBTOTAL 2</t>
  </si>
  <si>
    <t xml:space="preserve">2- CUSTOS OPERACIONAIS </t>
  </si>
  <si>
    <t>2.1- MÃO DE OBRA DIRETA</t>
  </si>
  <si>
    <t>QUANTIDADE</t>
  </si>
  <si>
    <t xml:space="preserve">SALÁRIO BASE </t>
  </si>
  <si>
    <t>ACRESC. LEGAIS</t>
  </si>
  <si>
    <t>SALÁRIO TOTAL</t>
  </si>
  <si>
    <t>OUTRAS VANTAGENS</t>
  </si>
  <si>
    <t>ENCARGOS</t>
  </si>
  <si>
    <t>CUSTO MENSAL</t>
  </si>
  <si>
    <t>INDIVIDUAL</t>
  </si>
  <si>
    <t>MOTORISTA (DIURNO)</t>
  </si>
  <si>
    <t>(*) Discriminado em anexo</t>
  </si>
  <si>
    <t>2.2- MÃO DE OBRA INDIRETA</t>
  </si>
  <si>
    <t>Luciano, preciso do orçamento para este serviço na sama: 4 rocadores, 4 serviços gerais, rocadeiras por conta da empresa, combustível por conta da empresa e a locação de 1 caminhão para tirar os resíduos de roçagem, capina e poda de árvores</t>
  </si>
  <si>
    <t>SUBTOTAL 4</t>
  </si>
  <si>
    <t>PREÇO UNIT./l</t>
  </si>
  <si>
    <t>PERCURSO KM/MÊS</t>
  </si>
  <si>
    <t>CONSUMO KM/l</t>
  </si>
  <si>
    <t>CONSUMO MENSAL</t>
  </si>
  <si>
    <t>VEÍCULOS</t>
  </si>
  <si>
    <t>L/MÊS</t>
  </si>
  <si>
    <t>ÓLEO MOTOR</t>
  </si>
  <si>
    <t>CX. MUDANÇA</t>
  </si>
  <si>
    <t>DIFERENCIAL</t>
  </si>
  <si>
    <t>FLUIDO FRESCO</t>
  </si>
  <si>
    <t>GRAXA</t>
  </si>
  <si>
    <t>HORAS/MÊS</t>
  </si>
  <si>
    <t>CONSUMO POR HORA</t>
  </si>
  <si>
    <t>ROÇADEIRAS</t>
  </si>
  <si>
    <t>GASOLINA PARA ROÇADEIRA</t>
  </si>
  <si>
    <t>OLEO 2 TEMPOS PARA ROÇADEIRA</t>
  </si>
  <si>
    <t>PNEUS</t>
  </si>
  <si>
    <t>RECAPAGEM</t>
  </si>
  <si>
    <t>CÂMARAS</t>
  </si>
  <si>
    <t>PROTETORES</t>
  </si>
  <si>
    <t>PEÇAS E ACESSÓRIOS VEÍCULOS</t>
  </si>
  <si>
    <t>PEÇAS E ACESSÓRIOS EQUIP.</t>
  </si>
  <si>
    <t>SUBTOTAL 7</t>
  </si>
  <si>
    <t>TOTAL DE CUSTOS OPERACIONAIS</t>
  </si>
  <si>
    <t>3- CUSTOS ADMINISTRATIVOS E SERVIÇOS DE TERCEIROS</t>
  </si>
  <si>
    <t>ALUGUÉIS (IMPOSTOS INCLUSOS)</t>
  </si>
  <si>
    <t>LANÇAR APENAS O CUSTO MENSAL POR ITEM, DEMONSTRAR OS CUSTOS EM PLANILHA ANEXA.</t>
  </si>
  <si>
    <t>SEGURO</t>
  </si>
  <si>
    <t>LICENCIAMENTO DE VEÍCULOS</t>
  </si>
  <si>
    <t>ÁGUA, LUZ E TELEFONE</t>
  </si>
  <si>
    <t>SUBTOTAL 8</t>
  </si>
  <si>
    <t>TOTAL DE CUSTOS ADM. E SERRVIÇOS TERCEIROS= SUBTOTAL 8</t>
  </si>
  <si>
    <t>4- CUSTOS INDIRETOS (BDI)</t>
  </si>
  <si>
    <t>IMPOSTOS E TAXAS</t>
  </si>
  <si>
    <t xml:space="preserve">DESPESAS FINANCEIRAS </t>
  </si>
  <si>
    <t>DESPESAS ADM. DIFUSAS (**)</t>
  </si>
  <si>
    <t>OUTROS CUSTOS INDIRETOS (**)</t>
  </si>
  <si>
    <t>LUCRO OPERACIONAL BRUTO 7% (***)</t>
  </si>
  <si>
    <t>SUBTOTAL 9</t>
  </si>
  <si>
    <t>(**) NÃO CLASSIFICADAS OU COMPUTADAS ANTERIORMENTE</t>
  </si>
  <si>
    <t>(***) INCIDENTES SOBRE OS CUSTOS OPERACIONAIS</t>
  </si>
  <si>
    <t>TOTAL DE CUSTOS INDIRETOS (BDI)= SUBTOTAL 9</t>
  </si>
  <si>
    <t>5- CUSTO TOTAL</t>
  </si>
  <si>
    <t>TOTAL DE CUSTOS MENSAIS =I + II+ III</t>
  </si>
  <si>
    <t>6- QUANTIDADE MENSAL</t>
  </si>
  <si>
    <t>7- PREÇO UNITÁRIO</t>
  </si>
  <si>
    <t>PREÇO UNITÁRIO= CUSTO MENSAL TOTAL(5)/ QUANTIDADE MENSAL (6)</t>
  </si>
  <si>
    <t>MOTOPODA</t>
  </si>
  <si>
    <t>MOTOSERRA</t>
  </si>
  <si>
    <t>SERVIÇOS GERAIS</t>
  </si>
  <si>
    <t>6- CUSTOS INDIRETOS (BDI)</t>
  </si>
  <si>
    <t>CONTAINERES</t>
  </si>
  <si>
    <t>LIMPEZA</t>
  </si>
  <si>
    <t>3.0</t>
  </si>
  <si>
    <t>Equipe</t>
  </si>
  <si>
    <t>Serviço Gerais</t>
  </si>
  <si>
    <t xml:space="preserve">Serviço de Varrição manual de vias e logradouros públicas                             </t>
  </si>
  <si>
    <t>Obs.: Em virtude da sazonalidade turistica da cidade, que ocorre nos fins de semana, a população flutuante é significativamente grande, gerando um acréscimo de geração de resíduos na cidade, portanto, o volume de resíduos é bem maior do que a geração normal de resíduos.</t>
  </si>
  <si>
    <t>CUSTO MENSAL TOTAL DE INVESTIMENTOS= SUBTOTAL  1</t>
  </si>
  <si>
    <t>2.2- UNIFORMES, EPI, MATERIAL DE LIMPEZA E HIGIENE PESSOAL</t>
  </si>
  <si>
    <t>2.3- COMBUSTÍVEIS E LUBRIFICANTES</t>
  </si>
  <si>
    <t>CUSTO MENSAL TOTAL DE INSUMOS VARIÁVEIS</t>
  </si>
  <si>
    <t>CUSTO MENSAL TOTAL DE MÃO DE OBRA</t>
  </si>
  <si>
    <t>MATERIAL DE RODAGEM , PEÇAS E ACESSÓRIOS DE MANUTENÇÃO</t>
  </si>
  <si>
    <t>SUBTOTAL</t>
  </si>
  <si>
    <t xml:space="preserve">SUBTOTAL </t>
  </si>
  <si>
    <t>MUNICIPIO DE HEITORAÍ</t>
  </si>
  <si>
    <t>Município de Heitoraí/GO</t>
  </si>
  <si>
    <t>CAMINHÃO COLETOR 8 a 15 M3  -VIDA ÚTIL 48 MESES - VR 20% - i=6% a.a K= 0,9</t>
  </si>
  <si>
    <t>CAMINHÃO COLETOR 8 a 15 M3 - VALOR  R$ 217.000,00 VIDA ÚTIL 48 MESES - VR 20% - i=6% a.a K= 0,9</t>
  </si>
  <si>
    <t xml:space="preserve">OBS: A QUANTIDADE MÍNIMA PARA ATENDER A VARRIÇÃO DOS BAIRROS ALTERANDO A FREQUENCIA É DE 8 VARREDORES. </t>
  </si>
  <si>
    <t>AUXILIAR SERVIÇOS GERAIS (PREDIAIS)</t>
  </si>
  <si>
    <t>Motorista</t>
  </si>
  <si>
    <t>5.1 - CAMINHÕES COLETORES (será fornecido pela Prefeitura)</t>
  </si>
  <si>
    <t>5.2 - RESERVA TÉCNICA (será fornecida pela Prefeitura)</t>
  </si>
  <si>
    <t>3 - FERRAMENTAL (1 jogo por Lutocar)</t>
  </si>
  <si>
    <t>4 - EQUIPAMENTOS</t>
  </si>
  <si>
    <t>4.1 - CARRINHO LUTOCAR</t>
  </si>
  <si>
    <t>3 - FERRAMENTAL</t>
  </si>
  <si>
    <t>4 - CARRINHOS LUTOCAR</t>
  </si>
  <si>
    <t>Heitorai, 05/2021</t>
  </si>
  <si>
    <t>COM CAMINHÃO</t>
  </si>
  <si>
    <t>CAPACIDADE CAMINHÃO COLETOR COM CAPACIADE 8 a 15 m3 (FORNECIDDO PELA PREFEITURA)</t>
  </si>
  <si>
    <t>RESERVA TÉCNICA 8 M3 a 15 M3 (FORNECIDO PELA PREFEITURA)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</si>
</sst>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000000"/>
    <numFmt numFmtId="169" formatCode="_ * #,##0.00_ ;_ * \-#,##0.00_ ;_ * &quot;-&quot;??_ ;_ @_ "/>
    <numFmt numFmtId="170" formatCode="_ &quot;R$ &quot;* #,##0.00_ ;_ &quot;R$ &quot;* \-#,##0.00_ ;_ &quot;R$ &quot;* &quot;-&quot;??_ ;_ @_ "/>
    <numFmt numFmtId="171" formatCode="00"/>
    <numFmt numFmtId="172" formatCode="_(* #,##0.00_);[Red]_(* \(#,##0.00\);_(* &quot;-&quot;??_);[Blue]* _(@_)"/>
    <numFmt numFmtId="173" formatCode="_(* #,##0.00&quot; Km&quot;_);[Red]_(* \(#,##0.00&quot; Km&quot;\);_(* &quot;-&quot;?????_);[Blue]* _(@_)"/>
    <numFmt numFmtId="174" formatCode="#,##0.00_);[Red]\(#,##0.00\);&quot;-&quot;_0_0_)"/>
    <numFmt numFmtId="175" formatCode="_-* #,##0_-;\-* #,##0_-;_-* &quot;-&quot;??_-;_-@_-"/>
    <numFmt numFmtId="176" formatCode="0.000%"/>
    <numFmt numFmtId="177" formatCode="#,##0.000"/>
    <numFmt numFmtId="178" formatCode="0.0000%"/>
    <numFmt numFmtId="179" formatCode="_-* #,##0.000_-;\-* #,##0.000_-;_-* &quot;-&quot;???_-;_-@_-"/>
    <numFmt numFmtId="180" formatCode="0.0%"/>
    <numFmt numFmtId="181" formatCode="_-* #,##0.000_-;\-* #,##0.000_-;_-* &quot;-&quot;??_-;_-@_-"/>
    <numFmt numFmtId="182" formatCode="#,##0.00_ ;[Red]\-#,##0.00\ "/>
    <numFmt numFmtId="183" formatCode="_-* #,##0.0000_-;\-* #,##0.0000_-;_-* &quot;-&quot;??_-;_-@_-"/>
    <numFmt numFmtId="184" formatCode="_-* #,##0.0000_-;\-* #,##0.0000_-;_-* &quot;-&quot;????_-;_-@_-"/>
    <numFmt numFmtId="185" formatCode="0.00000%"/>
    <numFmt numFmtId="186" formatCode="_-&quot;R$&quot;\ * #,##0.00_-;\-&quot;R$&quot;\ * #,##0.00_-;_-&quot;R$&quot;\ * &quot;-&quot;?????_-;_-@_-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4"/>
      <color rgb="FF00CCFF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name val="Times New Roman"/>
      <family val="1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sz val="12"/>
      <color indexed="8"/>
      <name val="Arial Narrow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ial Black"/>
      <family val="2"/>
    </font>
    <font>
      <sz val="11"/>
      <color indexed="8"/>
      <name val="Calibri"/>
      <family val="2"/>
    </font>
    <font>
      <b/>
      <sz val="14"/>
      <color theme="1"/>
      <name val="Arial"/>
      <family val="2"/>
    </font>
    <font>
      <b/>
      <sz val="1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9.5"/>
      <name val="Times New Roman"/>
      <family val="1"/>
    </font>
    <font>
      <b/>
      <sz val="8"/>
      <name val="Times New Roman"/>
      <family val="1"/>
    </font>
    <font>
      <sz val="12"/>
      <color theme="0"/>
      <name val="Times New Roman"/>
      <family val="1"/>
    </font>
    <font>
      <b/>
      <sz val="2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4">
    <xf numFmtId="0" fontId="0" fillId="0" borderId="0"/>
    <xf numFmtId="0" fontId="8" fillId="0" borderId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6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172" fontId="6" fillId="3" borderId="2" applyFont="0" applyFill="0" applyBorder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73" fontId="6" fillId="3" borderId="36" applyFont="0" applyFill="0" applyBorder="0" applyProtection="0">
      <alignment horizontal="left"/>
      <protection hidden="1"/>
    </xf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5" fillId="0" borderId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46" fillId="0" borderId="0"/>
    <xf numFmtId="9" fontId="46" fillId="0" borderId="0" applyFill="0" applyBorder="0" applyProtection="0"/>
  </cellStyleXfs>
  <cellXfs count="722">
    <xf numFmtId="0" fontId="0" fillId="0" borderId="0" xfId="0"/>
    <xf numFmtId="0" fontId="5" fillId="0" borderId="0" xfId="0" applyFont="1"/>
    <xf numFmtId="0" fontId="11" fillId="0" borderId="0" xfId="1" applyFont="1" applyAlignment="1">
      <alignment vertical="center"/>
    </xf>
    <xf numFmtId="169" fontId="11" fillId="0" borderId="0" xfId="1" applyNumberFormat="1" applyFont="1" applyAlignment="1">
      <alignment vertical="center"/>
    </xf>
    <xf numFmtId="0" fontId="8" fillId="0" borderId="0" xfId="1"/>
    <xf numFmtId="0" fontId="8" fillId="0" borderId="0" xfId="0" applyFont="1"/>
    <xf numFmtId="10" fontId="0" fillId="0" borderId="20" xfId="0" applyNumberFormat="1" applyBorder="1"/>
    <xf numFmtId="0" fontId="0" fillId="0" borderId="20" xfId="0" applyBorder="1"/>
    <xf numFmtId="0" fontId="0" fillId="0" borderId="0" xfId="0"/>
    <xf numFmtId="0" fontId="7" fillId="0" borderId="0" xfId="0" applyFont="1" applyBorder="1" applyAlignment="1">
      <alignment horizontal="center"/>
    </xf>
    <xf numFmtId="9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168" fontId="7" fillId="0" borderId="0" xfId="0" applyNumberFormat="1" applyFont="1" applyBorder="1" applyAlignment="1">
      <alignment horizontal="right"/>
    </xf>
    <xf numFmtId="0" fontId="12" fillId="0" borderId="0" xfId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8" fillId="0" borderId="0" xfId="1" applyBorder="1" applyAlignment="1">
      <alignment horizontal="left"/>
    </xf>
    <xf numFmtId="0" fontId="8" fillId="0" borderId="20" xfId="0" applyFont="1" applyBorder="1"/>
    <xf numFmtId="0" fontId="8" fillId="0" borderId="19" xfId="0" applyFont="1" applyBorder="1"/>
    <xf numFmtId="0" fontId="5" fillId="0" borderId="12" xfId="0" applyFont="1" applyBorder="1"/>
    <xf numFmtId="0" fontId="0" fillId="0" borderId="0" xfId="0" applyFill="1" applyBorder="1"/>
    <xf numFmtId="4" fontId="0" fillId="0" borderId="0" xfId="0" applyNumberFormat="1"/>
    <xf numFmtId="0" fontId="0" fillId="0" borderId="0" xfId="0" applyAlignment="1">
      <alignment wrapText="1"/>
    </xf>
    <xf numFmtId="4" fontId="0" fillId="0" borderId="20" xfId="0" applyNumberFormat="1" applyBorder="1"/>
    <xf numFmtId="4" fontId="16" fillId="10" borderId="20" xfId="0" applyNumberFormat="1" applyFont="1" applyFill="1" applyBorder="1"/>
    <xf numFmtId="4" fontId="0" fillId="8" borderId="20" xfId="0" applyNumberFormat="1" applyFill="1" applyBorder="1"/>
    <xf numFmtId="4" fontId="8" fillId="0" borderId="0" xfId="0" applyNumberFormat="1" applyFont="1"/>
    <xf numFmtId="4" fontId="8" fillId="7" borderId="18" xfId="0" applyNumberFormat="1" applyFont="1" applyFill="1" applyBorder="1"/>
    <xf numFmtId="4" fontId="0" fillId="0" borderId="0" xfId="0" applyNumberFormat="1" applyFill="1" applyBorder="1"/>
    <xf numFmtId="10" fontId="18" fillId="0" borderId="20" xfId="0" applyNumberFormat="1" applyFont="1" applyBorder="1"/>
    <xf numFmtId="4" fontId="18" fillId="8" borderId="20" xfId="0" applyNumberFormat="1" applyFont="1" applyFill="1" applyBorder="1"/>
    <xf numFmtId="10" fontId="8" fillId="0" borderId="20" xfId="0" applyNumberFormat="1" applyFont="1" applyBorder="1"/>
    <xf numFmtId="4" fontId="8" fillId="0" borderId="20" xfId="0" applyNumberFormat="1" applyFont="1" applyBorder="1"/>
    <xf numFmtId="4" fontId="18" fillId="0" borderId="20" xfId="0" applyNumberFormat="1" applyFont="1" applyBorder="1"/>
    <xf numFmtId="0" fontId="5" fillId="0" borderId="9" xfId="0" applyFont="1" applyBorder="1"/>
    <xf numFmtId="0" fontId="20" fillId="7" borderId="9" xfId="0" applyFont="1" applyFill="1" applyBorder="1"/>
    <xf numFmtId="0" fontId="21" fillId="0" borderId="0" xfId="0" applyFont="1"/>
    <xf numFmtId="0" fontId="9" fillId="7" borderId="18" xfId="0" applyFont="1" applyFill="1" applyBorder="1"/>
    <xf numFmtId="0" fontId="9" fillId="7" borderId="37" xfId="0" applyFont="1" applyFill="1" applyBorder="1"/>
    <xf numFmtId="0" fontId="22" fillId="0" borderId="0" xfId="0" applyFont="1"/>
    <xf numFmtId="0" fontId="4" fillId="0" borderId="41" xfId="0" applyFont="1" applyBorder="1"/>
    <xf numFmtId="0" fontId="4" fillId="0" borderId="22" xfId="0" applyFont="1" applyBorder="1"/>
    <xf numFmtId="0" fontId="4" fillId="0" borderId="31" xfId="0" applyFont="1" applyBorder="1"/>
    <xf numFmtId="0" fontId="4" fillId="0" borderId="20" xfId="0" applyFont="1" applyBorder="1"/>
    <xf numFmtId="0" fontId="4" fillId="0" borderId="1" xfId="0" applyFont="1" applyBorder="1"/>
    <xf numFmtId="0" fontId="4" fillId="0" borderId="3" xfId="0" applyFont="1" applyBorder="1"/>
    <xf numFmtId="0" fontId="8" fillId="0" borderId="0" xfId="0" applyFont="1" applyAlignment="1">
      <alignment wrapText="1"/>
    </xf>
    <xf numFmtId="4" fontId="8" fillId="8" borderId="20" xfId="0" applyNumberFormat="1" applyFont="1" applyFill="1" applyBorder="1"/>
    <xf numFmtId="4" fontId="8" fillId="0" borderId="35" xfId="0" applyNumberFormat="1" applyFont="1" applyFill="1" applyBorder="1"/>
    <xf numFmtId="0" fontId="8" fillId="0" borderId="0" xfId="0" applyFont="1" applyBorder="1"/>
    <xf numFmtId="0" fontId="26" fillId="0" borderId="20" xfId="0" applyFont="1" applyBorder="1"/>
    <xf numFmtId="4" fontId="26" fillId="8" borderId="20" xfId="0" applyNumberFormat="1" applyFont="1" applyFill="1" applyBorder="1"/>
    <xf numFmtId="4" fontId="26" fillId="10" borderId="20" xfId="0" applyNumberFormat="1" applyFont="1" applyFill="1" applyBorder="1"/>
    <xf numFmtId="4" fontId="8" fillId="7" borderId="0" xfId="0" applyNumberFormat="1" applyFont="1" applyFill="1"/>
    <xf numFmtId="0" fontId="8" fillId="0" borderId="0" xfId="0" applyFont="1" applyFill="1" applyBorder="1"/>
    <xf numFmtId="0" fontId="26" fillId="7" borderId="9" xfId="0" applyFont="1" applyFill="1" applyBorder="1"/>
    <xf numFmtId="4" fontId="8" fillId="7" borderId="37" xfId="0" applyNumberFormat="1" applyFont="1" applyFill="1" applyBorder="1"/>
    <xf numFmtId="0" fontId="26" fillId="7" borderId="0" xfId="0" applyFont="1" applyFill="1"/>
    <xf numFmtId="4" fontId="5" fillId="0" borderId="18" xfId="0" applyNumberFormat="1" applyFont="1" applyBorder="1"/>
    <xf numFmtId="0" fontId="5" fillId="0" borderId="18" xfId="0" applyFont="1" applyBorder="1"/>
    <xf numFmtId="0" fontId="5" fillId="0" borderId="37" xfId="0" applyFont="1" applyBorder="1"/>
    <xf numFmtId="0" fontId="8" fillId="0" borderId="0" xfId="1" applyFont="1"/>
    <xf numFmtId="0" fontId="8" fillId="0" borderId="5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166" fontId="5" fillId="0" borderId="7" xfId="1" applyNumberFormat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/>
    </xf>
    <xf numFmtId="0" fontId="5" fillId="0" borderId="13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center"/>
    </xf>
    <xf numFmtId="4" fontId="26" fillId="8" borderId="20" xfId="0" applyNumberFormat="1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6" fillId="0" borderId="48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4" fontId="26" fillId="8" borderId="2" xfId="0" applyNumberFormat="1" applyFont="1" applyFill="1" applyBorder="1" applyAlignment="1">
      <alignment horizontal="center" vertical="center" wrapText="1"/>
    </xf>
    <xf numFmtId="4" fontId="26" fillId="8" borderId="49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" fontId="8" fillId="0" borderId="51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right" vertical="center"/>
    </xf>
    <xf numFmtId="4" fontId="26" fillId="8" borderId="16" xfId="0" applyNumberFormat="1" applyFont="1" applyFill="1" applyBorder="1" applyAlignment="1">
      <alignment horizontal="right" vertical="center"/>
    </xf>
    <xf numFmtId="4" fontId="26" fillId="8" borderId="17" xfId="0" applyNumberFormat="1" applyFont="1" applyFill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26" fillId="8" borderId="20" xfId="0" applyNumberFormat="1" applyFont="1" applyFill="1" applyBorder="1" applyAlignment="1">
      <alignment horizontal="right" vertical="center"/>
    </xf>
    <xf numFmtId="4" fontId="26" fillId="8" borderId="21" xfId="0" applyNumberFormat="1" applyFont="1" applyFill="1" applyBorder="1" applyAlignment="1">
      <alignment horizontal="right" vertical="center"/>
    </xf>
    <xf numFmtId="4" fontId="26" fillId="10" borderId="51" xfId="0" applyNumberFormat="1" applyFont="1" applyFill="1" applyBorder="1" applyAlignment="1">
      <alignment horizontal="right" vertical="center"/>
    </xf>
    <xf numFmtId="4" fontId="26" fillId="10" borderId="52" xfId="0" applyNumberFormat="1" applyFont="1" applyFill="1" applyBorder="1" applyAlignment="1">
      <alignment horizontal="right" vertical="center"/>
    </xf>
    <xf numFmtId="0" fontId="16" fillId="8" borderId="22" xfId="0" applyFont="1" applyFill="1" applyBorder="1" applyAlignment="1">
      <alignment horizontal="center" vertical="center" wrapText="1"/>
    </xf>
    <xf numFmtId="4" fontId="0" fillId="0" borderId="20" xfId="0" applyNumberFormat="1" applyFill="1" applyBorder="1" applyAlignment="1">
      <alignment horizontal="center" vertical="center"/>
    </xf>
    <xf numFmtId="4" fontId="0" fillId="0" borderId="20" xfId="0" applyNumberFormat="1" applyBorder="1" applyAlignment="1">
      <alignment horizontal="center"/>
    </xf>
    <xf numFmtId="0" fontId="26" fillId="8" borderId="20" xfId="0" applyFont="1" applyFill="1" applyBorder="1" applyAlignment="1">
      <alignment horizontal="center" vertical="center" wrapText="1"/>
    </xf>
    <xf numFmtId="4" fontId="26" fillId="8" borderId="20" xfId="0" applyNumberFormat="1" applyFont="1" applyFill="1" applyBorder="1" applyAlignment="1">
      <alignment horizontal="center" vertical="center" wrapText="1"/>
    </xf>
    <xf numFmtId="4" fontId="26" fillId="10" borderId="20" xfId="0" applyNumberFormat="1" applyFont="1" applyFill="1" applyBorder="1" applyAlignment="1">
      <alignment horizontal="center"/>
    </xf>
    <xf numFmtId="4" fontId="0" fillId="0" borderId="20" xfId="0" applyNumberFormat="1" applyFill="1" applyBorder="1" applyAlignment="1">
      <alignment horizontal="center"/>
    </xf>
    <xf numFmtId="0" fontId="26" fillId="8" borderId="22" xfId="0" applyFont="1" applyFill="1" applyBorder="1" applyAlignment="1">
      <alignment horizontal="center" vertical="center" wrapText="1"/>
    </xf>
    <xf numFmtId="4" fontId="26" fillId="8" borderId="22" xfId="0" applyNumberFormat="1" applyFont="1" applyFill="1" applyBorder="1" applyAlignment="1">
      <alignment horizontal="center" vertical="center" wrapText="1"/>
    </xf>
    <xf numFmtId="0" fontId="25" fillId="7" borderId="44" xfId="0" applyFont="1" applyFill="1" applyBorder="1" applyAlignment="1">
      <alignment horizontal="center" vertical="center"/>
    </xf>
    <xf numFmtId="4" fontId="25" fillId="7" borderId="45" xfId="0" applyNumberFormat="1" applyFont="1" applyFill="1" applyBorder="1" applyAlignment="1">
      <alignment horizontal="center" vertical="center"/>
    </xf>
    <xf numFmtId="0" fontId="25" fillId="7" borderId="45" xfId="0" applyFont="1" applyFill="1" applyBorder="1" applyAlignment="1">
      <alignment horizontal="center" vertical="center"/>
    </xf>
    <xf numFmtId="0" fontId="25" fillId="7" borderId="47" xfId="0" applyFont="1" applyFill="1" applyBorder="1" applyAlignment="1">
      <alignment horizontal="center" vertical="center"/>
    </xf>
    <xf numFmtId="4" fontId="25" fillId="7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9" fillId="7" borderId="18" xfId="0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0" fontId="8" fillId="7" borderId="18" xfId="0" applyFont="1" applyFill="1" applyBorder="1" applyAlignment="1">
      <alignment horizontal="center"/>
    </xf>
    <xf numFmtId="4" fontId="18" fillId="0" borderId="20" xfId="0" applyNumberFormat="1" applyFont="1" applyBorder="1" applyAlignment="1">
      <alignment horizontal="center"/>
    </xf>
    <xf numFmtId="0" fontId="8" fillId="7" borderId="0" xfId="0" applyFont="1" applyFill="1" applyAlignment="1">
      <alignment horizontal="center"/>
    </xf>
    <xf numFmtId="43" fontId="0" fillId="0" borderId="0" xfId="59" applyFont="1"/>
    <xf numFmtId="0" fontId="0" fillId="0" borderId="0" xfId="0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4" fontId="26" fillId="10" borderId="2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175" fontId="24" fillId="0" borderId="4" xfId="59" applyNumberFormat="1" applyFont="1" applyBorder="1"/>
    <xf numFmtId="175" fontId="24" fillId="0" borderId="28" xfId="59" applyNumberFormat="1" applyFont="1" applyBorder="1"/>
    <xf numFmtId="0" fontId="21" fillId="5" borderId="5" xfId="0" applyFont="1" applyFill="1" applyBorder="1"/>
    <xf numFmtId="43" fontId="8" fillId="0" borderId="0" xfId="59" applyFont="1"/>
    <xf numFmtId="43" fontId="11" fillId="0" borderId="0" xfId="59" applyFont="1" applyAlignment="1">
      <alignment vertical="center"/>
    </xf>
    <xf numFmtId="43" fontId="10" fillId="0" borderId="0" xfId="59" applyFont="1" applyAlignment="1">
      <alignment vertical="center"/>
    </xf>
    <xf numFmtId="43" fontId="30" fillId="0" borderId="0" xfId="59" applyFont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24" fillId="0" borderId="37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4" fillId="0" borderId="18" xfId="0" applyFont="1" applyBorder="1" applyAlignment="1">
      <alignment vertical="center"/>
    </xf>
    <xf numFmtId="4" fontId="4" fillId="8" borderId="37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43" fontId="4" fillId="8" borderId="6" xfId="0" applyNumberFormat="1" applyFont="1" applyFill="1" applyBorder="1" applyAlignment="1">
      <alignment vertical="center"/>
    </xf>
    <xf numFmtId="0" fontId="4" fillId="0" borderId="32" xfId="0" applyFont="1" applyBorder="1"/>
    <xf numFmtId="0" fontId="4" fillId="0" borderId="27" xfId="0" applyFont="1" applyBorder="1"/>
    <xf numFmtId="0" fontId="4" fillId="0" borderId="34" xfId="0" applyFont="1" applyBorder="1"/>
    <xf numFmtId="4" fontId="4" fillId="8" borderId="4" xfId="0" applyNumberFormat="1" applyFont="1" applyFill="1" applyBorder="1" applyAlignment="1">
      <alignment vertical="center"/>
    </xf>
    <xf numFmtId="0" fontId="8" fillId="0" borderId="0" xfId="1" applyAlignment="1">
      <alignment vertical="center"/>
    </xf>
    <xf numFmtId="0" fontId="20" fillId="8" borderId="9" xfId="0" applyFont="1" applyFill="1" applyBorder="1" applyAlignment="1">
      <alignment vertical="center"/>
    </xf>
    <xf numFmtId="0" fontId="21" fillId="8" borderId="18" xfId="0" applyFont="1" applyFill="1" applyBorder="1" applyAlignment="1">
      <alignment vertical="center"/>
    </xf>
    <xf numFmtId="4" fontId="21" fillId="8" borderId="18" xfId="0" applyNumberFormat="1" applyFont="1" applyFill="1" applyBorder="1" applyAlignment="1">
      <alignment vertical="center"/>
    </xf>
    <xf numFmtId="0" fontId="5" fillId="4" borderId="24" xfId="1" applyFont="1" applyFill="1" applyBorder="1" applyAlignment="1">
      <alignment vertical="center"/>
    </xf>
    <xf numFmtId="0" fontId="5" fillId="4" borderId="33" xfId="1" applyFont="1" applyFill="1" applyBorder="1" applyAlignment="1">
      <alignment vertical="center"/>
    </xf>
    <xf numFmtId="0" fontId="8" fillId="0" borderId="31" xfId="1" applyBorder="1" applyAlignment="1">
      <alignment horizontal="left" vertical="center"/>
    </xf>
    <xf numFmtId="164" fontId="8" fillId="0" borderId="21" xfId="1" applyNumberFormat="1" applyBorder="1" applyAlignment="1">
      <alignment vertical="center"/>
    </xf>
    <xf numFmtId="0" fontId="8" fillId="0" borderId="31" xfId="1" applyBorder="1" applyAlignment="1">
      <alignment vertical="center"/>
    </xf>
    <xf numFmtId="0" fontId="5" fillId="0" borderId="31" xfId="1" applyFont="1" applyBorder="1" applyAlignment="1">
      <alignment horizontal="right" vertical="center"/>
    </xf>
    <xf numFmtId="164" fontId="5" fillId="0" borderId="21" xfId="1" applyNumberFormat="1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8" fillId="0" borderId="15" xfId="1" applyFont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/>
    </xf>
    <xf numFmtId="4" fontId="19" fillId="5" borderId="0" xfId="0" applyNumberFormat="1" applyFont="1" applyFill="1" applyBorder="1" applyAlignment="1"/>
    <xf numFmtId="43" fontId="4" fillId="0" borderId="37" xfId="0" applyNumberFormat="1" applyFont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0" fontId="10" fillId="8" borderId="18" xfId="0" applyFont="1" applyFill="1" applyBorder="1" applyAlignment="1">
      <alignment vertical="center"/>
    </xf>
    <xf numFmtId="4" fontId="32" fillId="8" borderId="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3" fillId="0" borderId="41" xfId="0" applyFont="1" applyBorder="1" applyAlignment="1">
      <alignment vertical="center"/>
    </xf>
    <xf numFmtId="4" fontId="23" fillId="0" borderId="22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4" fontId="25" fillId="0" borderId="39" xfId="0" applyNumberFormat="1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4" fontId="25" fillId="0" borderId="40" xfId="0" applyNumberFormat="1" applyFont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4" fontId="25" fillId="0" borderId="38" xfId="0" applyNumberFormat="1" applyFont="1" applyBorder="1" applyAlignment="1">
      <alignment vertical="center"/>
    </xf>
    <xf numFmtId="43" fontId="4" fillId="12" borderId="28" xfId="59" applyFont="1" applyFill="1" applyBorder="1" applyAlignment="1">
      <alignment vertical="center"/>
    </xf>
    <xf numFmtId="43" fontId="4" fillId="8" borderId="4" xfId="59" applyFont="1" applyFill="1" applyBorder="1" applyAlignment="1">
      <alignment vertical="center"/>
    </xf>
    <xf numFmtId="43" fontId="23" fillId="0" borderId="4" xfId="59" applyFont="1" applyBorder="1" applyAlignment="1">
      <alignment vertical="center"/>
    </xf>
    <xf numFmtId="0" fontId="23" fillId="8" borderId="1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0" fillId="5" borderId="0" xfId="0" applyFill="1"/>
    <xf numFmtId="0" fontId="23" fillId="0" borderId="20" xfId="0" applyFont="1" applyBorder="1" applyAlignment="1">
      <alignment vertical="center"/>
    </xf>
    <xf numFmtId="4" fontId="16" fillId="10" borderId="22" xfId="0" applyNumberFormat="1" applyFont="1" applyFill="1" applyBorder="1" applyAlignment="1">
      <alignment vertical="center"/>
    </xf>
    <xf numFmtId="4" fontId="24" fillId="0" borderId="20" xfId="0" applyNumberFormat="1" applyFont="1" applyFill="1" applyBorder="1" applyAlignment="1">
      <alignment vertical="center"/>
    </xf>
    <xf numFmtId="4" fontId="24" fillId="8" borderId="20" xfId="0" applyNumberFormat="1" applyFont="1" applyFill="1" applyBorder="1" applyAlignment="1">
      <alignment vertical="center"/>
    </xf>
    <xf numFmtId="10" fontId="8" fillId="0" borderId="20" xfId="60" applyNumberFormat="1" applyFont="1" applyBorder="1"/>
    <xf numFmtId="0" fontId="9" fillId="11" borderId="0" xfId="0" applyFont="1" applyFill="1"/>
    <xf numFmtId="0" fontId="5" fillId="11" borderId="0" xfId="0" applyFont="1" applyFill="1"/>
    <xf numFmtId="0" fontId="8" fillId="11" borderId="0" xfId="0" applyFont="1" applyFill="1"/>
    <xf numFmtId="0" fontId="8" fillId="5" borderId="0" xfId="0" applyFont="1" applyFill="1"/>
    <xf numFmtId="0" fontId="21" fillId="11" borderId="18" xfId="0" applyFont="1" applyFill="1" applyBorder="1"/>
    <xf numFmtId="4" fontId="21" fillId="11" borderId="18" xfId="0" applyNumberFormat="1" applyFont="1" applyFill="1" applyBorder="1"/>
    <xf numFmtId="0" fontId="21" fillId="11" borderId="37" xfId="0" applyFont="1" applyFill="1" applyBorder="1"/>
    <xf numFmtId="0" fontId="9" fillId="11" borderId="18" xfId="0" applyFont="1" applyFill="1" applyBorder="1"/>
    <xf numFmtId="0" fontId="9" fillId="11" borderId="37" xfId="0" applyFont="1" applyFill="1" applyBorder="1"/>
    <xf numFmtId="0" fontId="5" fillId="11" borderId="9" xfId="0" applyFont="1" applyFill="1" applyBorder="1"/>
    <xf numFmtId="0" fontId="5" fillId="11" borderId="18" xfId="0" applyFont="1" applyFill="1" applyBorder="1"/>
    <xf numFmtId="0" fontId="5" fillId="11" borderId="37" xfId="0" applyFont="1" applyFill="1" applyBorder="1"/>
    <xf numFmtId="43" fontId="4" fillId="11" borderId="28" xfId="0" applyNumberFormat="1" applyFont="1" applyFill="1" applyBorder="1" applyAlignment="1">
      <alignment vertical="center"/>
    </xf>
    <xf numFmtId="43" fontId="23" fillId="0" borderId="4" xfId="0" applyNumberFormat="1" applyFont="1" applyBorder="1" applyAlignment="1">
      <alignment vertical="center"/>
    </xf>
    <xf numFmtId="4" fontId="33" fillId="10" borderId="46" xfId="0" applyNumberFormat="1" applyFont="1" applyFill="1" applyBorder="1"/>
    <xf numFmtId="0" fontId="5" fillId="5" borderId="0" xfId="0" applyFont="1" applyFill="1" applyBorder="1" applyAlignment="1"/>
    <xf numFmtId="0" fontId="24" fillId="0" borderId="20" xfId="0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66" fontId="24" fillId="0" borderId="31" xfId="1" applyNumberFormat="1" applyFont="1" applyBorder="1" applyAlignment="1">
      <alignment horizontal="center" vertical="center"/>
    </xf>
    <xf numFmtId="0" fontId="24" fillId="0" borderId="27" xfId="1" applyFont="1" applyBorder="1" applyAlignment="1">
      <alignment vertical="center" wrapText="1"/>
    </xf>
    <xf numFmtId="0" fontId="24" fillId="0" borderId="20" xfId="1" applyFont="1" applyBorder="1" applyAlignment="1">
      <alignment horizontal="center" vertical="center"/>
    </xf>
    <xf numFmtId="43" fontId="24" fillId="0" borderId="20" xfId="1" applyNumberFormat="1" applyFont="1" applyBorder="1" applyAlignment="1">
      <alignment horizontal="center" vertical="center"/>
    </xf>
    <xf numFmtId="165" fontId="24" fillId="3" borderId="20" xfId="2" applyNumberFormat="1" applyFont="1" applyFill="1" applyBorder="1" applyAlignment="1">
      <alignment horizontal="center" vertical="center"/>
    </xf>
    <xf numFmtId="165" fontId="24" fillId="3" borderId="21" xfId="2" applyNumberFormat="1" applyFont="1" applyFill="1" applyBorder="1" applyAlignment="1">
      <alignment horizontal="center" vertical="center"/>
    </xf>
    <xf numFmtId="0" fontId="24" fillId="0" borderId="0" xfId="1" applyFont="1" applyAlignment="1">
      <alignment vertical="center"/>
    </xf>
    <xf numFmtId="169" fontId="24" fillId="0" borderId="0" xfId="1" applyNumberFormat="1" applyFont="1" applyAlignment="1">
      <alignment vertical="center"/>
    </xf>
    <xf numFmtId="0" fontId="28" fillId="8" borderId="22" xfId="0" applyFont="1" applyFill="1" applyBorder="1" applyAlignment="1">
      <alignment horizontal="center" vertical="center" wrapText="1"/>
    </xf>
    <xf numFmtId="0" fontId="20" fillId="5" borderId="0" xfId="0" applyFont="1" applyFill="1"/>
    <xf numFmtId="0" fontId="5" fillId="5" borderId="20" xfId="0" applyFont="1" applyFill="1" applyBorder="1" applyAlignment="1">
      <alignment horizontal="center"/>
    </xf>
    <xf numFmtId="0" fontId="5" fillId="5" borderId="27" xfId="0" applyFont="1" applyFill="1" applyBorder="1"/>
    <xf numFmtId="0" fontId="8" fillId="5" borderId="25" xfId="0" applyFont="1" applyFill="1" applyBorder="1"/>
    <xf numFmtId="0" fontId="8" fillId="5" borderId="20" xfId="0" applyFont="1" applyFill="1" applyBorder="1" applyAlignment="1">
      <alignment horizontal="center"/>
    </xf>
    <xf numFmtId="0" fontId="8" fillId="5" borderId="27" xfId="0" applyFont="1" applyFill="1" applyBorder="1"/>
    <xf numFmtId="10" fontId="8" fillId="5" borderId="20" xfId="0" applyNumberFormat="1" applyFont="1" applyFill="1" applyBorder="1"/>
    <xf numFmtId="0" fontId="8" fillId="5" borderId="20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left"/>
    </xf>
    <xf numFmtId="0" fontId="31" fillId="5" borderId="25" xfId="0" applyFont="1" applyFill="1" applyBorder="1"/>
    <xf numFmtId="0" fontId="5" fillId="5" borderId="27" xfId="0" applyFont="1" applyFill="1" applyBorder="1" applyAlignment="1"/>
    <xf numFmtId="0" fontId="5" fillId="5" borderId="25" xfId="0" applyFont="1" applyFill="1" applyBorder="1" applyAlignment="1"/>
    <xf numFmtId="10" fontId="5" fillId="5" borderId="20" xfId="0" applyNumberFormat="1" applyFont="1" applyFill="1" applyBorder="1" applyAlignment="1"/>
    <xf numFmtId="10" fontId="0" fillId="5" borderId="0" xfId="0" applyNumberFormat="1" applyFill="1"/>
    <xf numFmtId="10" fontId="5" fillId="5" borderId="0" xfId="0" applyNumberFormat="1" applyFont="1" applyFill="1" applyBorder="1" applyAlignment="1"/>
    <xf numFmtId="0" fontId="5" fillId="5" borderId="25" xfId="0" applyFont="1" applyFill="1" applyBorder="1"/>
    <xf numFmtId="10" fontId="5" fillId="5" borderId="20" xfId="0" applyNumberFormat="1" applyFont="1" applyFill="1" applyBorder="1"/>
    <xf numFmtId="0" fontId="5" fillId="5" borderId="27" xfId="0" applyFont="1" applyFill="1" applyBorder="1" applyAlignment="1">
      <alignment wrapText="1"/>
    </xf>
    <xf numFmtId="0" fontId="8" fillId="5" borderId="27" xfId="0" applyFont="1" applyFill="1" applyBorder="1" applyAlignment="1"/>
    <xf numFmtId="0" fontId="8" fillId="5" borderId="26" xfId="0" applyFont="1" applyFill="1" applyBorder="1" applyAlignment="1"/>
    <xf numFmtId="0" fontId="5" fillId="5" borderId="53" xfId="0" applyFont="1" applyFill="1" applyBorder="1" applyAlignment="1"/>
    <xf numFmtId="0" fontId="5" fillId="5" borderId="54" xfId="0" applyFont="1" applyFill="1" applyBorder="1" applyAlignment="1"/>
    <xf numFmtId="10" fontId="5" fillId="5" borderId="55" xfId="0" applyNumberFormat="1" applyFont="1" applyFill="1" applyBorder="1" applyAlignment="1"/>
    <xf numFmtId="0" fontId="8" fillId="5" borderId="27" xfId="0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0" fontId="8" fillId="5" borderId="20" xfId="0" applyNumberFormat="1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5" fillId="5" borderId="27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10" fontId="5" fillId="5" borderId="20" xfId="0" applyNumberFormat="1" applyFont="1" applyFill="1" applyBorder="1" applyAlignment="1">
      <alignment vertical="center"/>
    </xf>
    <xf numFmtId="0" fontId="34" fillId="5" borderId="0" xfId="0" applyFont="1" applyFill="1"/>
    <xf numFmtId="43" fontId="8" fillId="0" borderId="20" xfId="59" applyFont="1" applyBorder="1"/>
    <xf numFmtId="43" fontId="8" fillId="0" borderId="16" xfId="59" applyFont="1" applyBorder="1" applyAlignment="1">
      <alignment horizontal="right" vertical="center"/>
    </xf>
    <xf numFmtId="43" fontId="8" fillId="0" borderId="20" xfId="59" applyFont="1" applyBorder="1" applyAlignment="1">
      <alignment horizontal="right" vertical="center"/>
    </xf>
    <xf numFmtId="0" fontId="32" fillId="7" borderId="15" xfId="0" applyFont="1" applyFill="1" applyBorder="1" applyAlignment="1">
      <alignment horizontal="center" vertical="center"/>
    </xf>
    <xf numFmtId="4" fontId="32" fillId="7" borderId="16" xfId="0" applyNumberFormat="1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4" fontId="32" fillId="7" borderId="17" xfId="0" applyNumberFormat="1" applyFont="1" applyFill="1" applyBorder="1" applyAlignment="1">
      <alignment horizontal="center" vertical="center" wrapText="1"/>
    </xf>
    <xf numFmtId="4" fontId="25" fillId="0" borderId="21" xfId="0" applyNumberFormat="1" applyFont="1" applyBorder="1" applyAlignment="1">
      <alignment vertical="center"/>
    </xf>
    <xf numFmtId="4" fontId="25" fillId="0" borderId="11" xfId="0" applyNumberFormat="1" applyFont="1" applyBorder="1" applyAlignment="1">
      <alignment vertical="center"/>
    </xf>
    <xf numFmtId="10" fontId="10" fillId="0" borderId="0" xfId="60" applyNumberFormat="1" applyFont="1" applyAlignment="1">
      <alignment vertical="center"/>
    </xf>
    <xf numFmtId="176" fontId="10" fillId="0" borderId="0" xfId="60" applyNumberFormat="1" applyFont="1" applyAlignment="1">
      <alignment vertical="center"/>
    </xf>
    <xf numFmtId="176" fontId="10" fillId="0" borderId="0" xfId="59" applyNumberFormat="1" applyFont="1" applyAlignment="1">
      <alignment vertical="center"/>
    </xf>
    <xf numFmtId="43" fontId="35" fillId="0" borderId="0" xfId="59" applyFont="1" applyAlignment="1">
      <alignment vertical="center"/>
    </xf>
    <xf numFmtId="4" fontId="24" fillId="0" borderId="20" xfId="0" applyNumberFormat="1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177" fontId="8" fillId="0" borderId="20" xfId="0" applyNumberFormat="1" applyFont="1" applyBorder="1"/>
    <xf numFmtId="4" fontId="23" fillId="5" borderId="0" xfId="0" applyNumberFormat="1" applyFont="1" applyFill="1" applyBorder="1" applyAlignment="1">
      <alignment horizontal="right" vertical="center"/>
    </xf>
    <xf numFmtId="0" fontId="24" fillId="0" borderId="20" xfId="1" applyFont="1" applyBorder="1" applyAlignment="1">
      <alignment horizontal="center" vertical="center" wrapText="1"/>
    </xf>
    <xf numFmtId="0" fontId="5" fillId="8" borderId="15" xfId="0" applyFont="1" applyFill="1" applyBorder="1" applyAlignment="1">
      <alignment vertical="center" wrapText="1"/>
    </xf>
    <xf numFmtId="0" fontId="5" fillId="8" borderId="16" xfId="0" applyFont="1" applyFill="1" applyBorder="1" applyAlignment="1">
      <alignment vertical="center" wrapText="1"/>
    </xf>
    <xf numFmtId="0" fontId="5" fillId="8" borderId="17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2" fontId="5" fillId="5" borderId="28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vertical="center" wrapText="1"/>
    </xf>
    <xf numFmtId="2" fontId="8" fillId="5" borderId="4" xfId="0" applyNumberFormat="1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/>
    </xf>
    <xf numFmtId="168" fontId="7" fillId="5" borderId="4" xfId="0" applyNumberFormat="1" applyFont="1" applyFill="1" applyBorder="1" applyAlignment="1">
      <alignment vertical="center" wrapText="1"/>
    </xf>
    <xf numFmtId="0" fontId="16" fillId="7" borderId="9" xfId="0" applyFont="1" applyFill="1" applyBorder="1"/>
    <xf numFmtId="0" fontId="0" fillId="7" borderId="18" xfId="0" applyFill="1" applyBorder="1"/>
    <xf numFmtId="0" fontId="0" fillId="7" borderId="37" xfId="0" applyFill="1" applyBorder="1"/>
    <xf numFmtId="4" fontId="23" fillId="5" borderId="5" xfId="0" applyNumberFormat="1" applyFont="1" applyFill="1" applyBorder="1" applyAlignment="1">
      <alignment horizontal="right" vertical="center"/>
    </xf>
    <xf numFmtId="43" fontId="8" fillId="0" borderId="0" xfId="1" applyNumberFormat="1"/>
    <xf numFmtId="176" fontId="8" fillId="0" borderId="0" xfId="60" applyNumberFormat="1" applyFont="1"/>
    <xf numFmtId="178" fontId="8" fillId="0" borderId="0" xfId="60" applyNumberFormat="1" applyFont="1"/>
    <xf numFmtId="43" fontId="8" fillId="0" borderId="0" xfId="59" applyFont="1" applyAlignment="1">
      <alignment vertical="center"/>
    </xf>
    <xf numFmtId="179" fontId="8" fillId="0" borderId="0" xfId="1" applyNumberFormat="1"/>
    <xf numFmtId="0" fontId="33" fillId="8" borderId="22" xfId="0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/>
    </xf>
    <xf numFmtId="0" fontId="0" fillId="0" borderId="0" xfId="0" applyFont="1"/>
    <xf numFmtId="4" fontId="33" fillId="10" borderId="22" xfId="0" applyNumberFormat="1" applyFont="1" applyFill="1" applyBorder="1" applyAlignment="1">
      <alignment horizontal="right"/>
    </xf>
    <xf numFmtId="4" fontId="8" fillId="0" borderId="25" xfId="0" applyNumberFormat="1" applyFont="1" applyBorder="1"/>
    <xf numFmtId="4" fontId="8" fillId="0" borderId="25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/>
    </xf>
    <xf numFmtId="0" fontId="5" fillId="0" borderId="27" xfId="0" applyFont="1" applyFill="1" applyBorder="1"/>
    <xf numFmtId="0" fontId="5" fillId="8" borderId="27" xfId="0" applyFont="1" applyFill="1" applyBorder="1"/>
    <xf numFmtId="4" fontId="8" fillId="8" borderId="25" xfId="0" applyNumberFormat="1" applyFont="1" applyFill="1" applyBorder="1"/>
    <xf numFmtId="4" fontId="8" fillId="8" borderId="25" xfId="0" applyNumberFormat="1" applyFont="1" applyFill="1" applyBorder="1" applyAlignment="1">
      <alignment horizontal="center" vertical="center"/>
    </xf>
    <xf numFmtId="4" fontId="8" fillId="8" borderId="26" xfId="0" applyNumberFormat="1" applyFont="1" applyFill="1" applyBorder="1" applyAlignment="1">
      <alignment horizontal="center"/>
    </xf>
    <xf numFmtId="0" fontId="37" fillId="11" borderId="9" xfId="0" applyFont="1" applyFill="1" applyBorder="1"/>
    <xf numFmtId="0" fontId="8" fillId="0" borderId="20" xfId="0" applyFont="1" applyFill="1" applyBorder="1" applyAlignment="1">
      <alignment horizontal="left" vertical="center" wrapText="1"/>
    </xf>
    <xf numFmtId="4" fontId="8" fillId="8" borderId="20" xfId="0" applyNumberFormat="1" applyFont="1" applyFill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43" fontId="4" fillId="0" borderId="37" xfId="59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43" fontId="23" fillId="0" borderId="37" xfId="59" applyFont="1" applyBorder="1" applyAlignment="1">
      <alignment vertical="center"/>
    </xf>
    <xf numFmtId="43" fontId="0" fillId="0" borderId="0" xfId="0" applyNumberFormat="1"/>
    <xf numFmtId="43" fontId="5" fillId="0" borderId="0" xfId="59" applyFont="1" applyAlignment="1">
      <alignment vertical="center"/>
    </xf>
    <xf numFmtId="180" fontId="8" fillId="0" borderId="0" xfId="60" applyNumberFormat="1" applyFont="1"/>
    <xf numFmtId="175" fontId="8" fillId="0" borderId="3" xfId="0" applyNumberFormat="1" applyFont="1" applyBorder="1" applyAlignment="1">
      <alignment vertical="center"/>
    </xf>
    <xf numFmtId="4" fontId="5" fillId="6" borderId="11" xfId="0" applyNumberFormat="1" applyFont="1" applyFill="1" applyBorder="1" applyAlignment="1">
      <alignment vertical="center"/>
    </xf>
    <xf numFmtId="2" fontId="5" fillId="5" borderId="28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5" borderId="0" xfId="0" applyFont="1" applyFill="1" applyBorder="1" applyAlignment="1">
      <alignment vertical="center" wrapText="1"/>
    </xf>
    <xf numFmtId="2" fontId="8" fillId="5" borderId="0" xfId="0" applyNumberFormat="1" applyFont="1" applyFill="1" applyBorder="1" applyAlignment="1">
      <alignment horizontal="center" vertical="center"/>
    </xf>
    <xf numFmtId="2" fontId="5" fillId="5" borderId="0" xfId="0" applyNumberFormat="1" applyFont="1" applyFill="1" applyBorder="1" applyAlignment="1">
      <alignment horizontal="center" vertical="center"/>
    </xf>
    <xf numFmtId="168" fontId="7" fillId="5" borderId="0" xfId="0" applyNumberFormat="1" applyFont="1" applyFill="1" applyBorder="1" applyAlignment="1">
      <alignment vertical="center" wrapText="1"/>
    </xf>
    <xf numFmtId="0" fontId="23" fillId="8" borderId="4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40" fillId="0" borderId="0" xfId="0" applyFont="1"/>
    <xf numFmtId="0" fontId="24" fillId="0" borderId="20" xfId="0" applyFont="1" applyBorder="1" applyAlignment="1">
      <alignment wrapText="1"/>
    </xf>
    <xf numFmtId="0" fontId="23" fillId="0" borderId="0" xfId="0" applyFont="1"/>
    <xf numFmtId="181" fontId="24" fillId="0" borderId="20" xfId="59" applyNumberFormat="1" applyFont="1" applyBorder="1"/>
    <xf numFmtId="0" fontId="33" fillId="8" borderId="20" xfId="0" applyFont="1" applyFill="1" applyBorder="1" applyAlignment="1">
      <alignment horizontal="center" vertical="center" wrapText="1"/>
    </xf>
    <xf numFmtId="4" fontId="0" fillId="0" borderId="20" xfId="59" applyNumberFormat="1" applyFont="1" applyBorder="1"/>
    <xf numFmtId="4" fontId="0" fillId="0" borderId="27" xfId="59" applyNumberFormat="1" applyFont="1" applyBorder="1"/>
    <xf numFmtId="0" fontId="8" fillId="0" borderId="5" xfId="0" applyFont="1" applyBorder="1"/>
    <xf numFmtId="0" fontId="23" fillId="9" borderId="20" xfId="0" applyFont="1" applyFill="1" applyBorder="1" applyAlignment="1">
      <alignment wrapText="1"/>
    </xf>
    <xf numFmtId="181" fontId="23" fillId="9" borderId="20" xfId="59" applyNumberFormat="1" applyFont="1" applyFill="1" applyBorder="1"/>
    <xf numFmtId="0" fontId="23" fillId="9" borderId="20" xfId="0" applyFont="1" applyFill="1" applyBorder="1"/>
    <xf numFmtId="4" fontId="23" fillId="9" borderId="20" xfId="59" applyNumberFormat="1" applyFont="1" applyFill="1" applyBorder="1"/>
    <xf numFmtId="0" fontId="5" fillId="9" borderId="20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/>
    </xf>
    <xf numFmtId="4" fontId="5" fillId="9" borderId="27" xfId="0" applyNumberFormat="1" applyFont="1" applyFill="1" applyBorder="1" applyAlignment="1">
      <alignment horizontal="center" vertical="center"/>
    </xf>
    <xf numFmtId="4" fontId="5" fillId="9" borderId="2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4" fontId="25" fillId="8" borderId="6" xfId="0" applyNumberFormat="1" applyFont="1" applyFill="1" applyBorder="1" applyAlignment="1">
      <alignment vertical="center"/>
    </xf>
    <xf numFmtId="9" fontId="4" fillId="9" borderId="20" xfId="60" applyFont="1" applyFill="1" applyBorder="1"/>
    <xf numFmtId="43" fontId="4" fillId="9" borderId="20" xfId="59" applyFont="1" applyFill="1" applyBorder="1"/>
    <xf numFmtId="9" fontId="4" fillId="10" borderId="20" xfId="60" applyFont="1" applyFill="1" applyBorder="1"/>
    <xf numFmtId="43" fontId="4" fillId="10" borderId="20" xfId="59" applyFont="1" applyFill="1" applyBorder="1"/>
    <xf numFmtId="4" fontId="40" fillId="0" borderId="0" xfId="0" applyNumberFormat="1" applyFont="1"/>
    <xf numFmtId="0" fontId="5" fillId="9" borderId="27" xfId="0" applyFont="1" applyFill="1" applyBorder="1" applyAlignment="1">
      <alignment horizontal="center" vertical="center" wrapText="1"/>
    </xf>
    <xf numFmtId="10" fontId="1" fillId="0" borderId="0" xfId="60" applyNumberFormat="1" applyFont="1"/>
    <xf numFmtId="0" fontId="16" fillId="0" borderId="0" xfId="0" applyFont="1"/>
    <xf numFmtId="10" fontId="16" fillId="0" borderId="0" xfId="60" applyNumberFormat="1" applyFont="1"/>
    <xf numFmtId="0" fontId="23" fillId="5" borderId="4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175" fontId="8" fillId="0" borderId="0" xfId="0" applyNumberFormat="1" applyFont="1"/>
    <xf numFmtId="0" fontId="33" fillId="11" borderId="9" xfId="0" applyFont="1" applyFill="1" applyBorder="1"/>
    <xf numFmtId="0" fontId="8" fillId="11" borderId="18" xfId="0" applyFont="1" applyFill="1" applyBorder="1"/>
    <xf numFmtId="0" fontId="8" fillId="11" borderId="37" xfId="0" applyFont="1" applyFill="1" applyBorder="1"/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 wrapText="1"/>
    </xf>
    <xf numFmtId="4" fontId="33" fillId="0" borderId="16" xfId="0" applyNumberFormat="1" applyFont="1" applyBorder="1" applyAlignment="1">
      <alignment horizontal="center" vertical="center" wrapText="1"/>
    </xf>
    <xf numFmtId="0" fontId="42" fillId="8" borderId="16" xfId="0" applyFont="1" applyFill="1" applyBorder="1" applyAlignment="1">
      <alignment horizontal="center" vertical="center" wrapText="1"/>
    </xf>
    <xf numFmtId="0" fontId="33" fillId="0" borderId="31" xfId="0" applyFont="1" applyBorder="1"/>
    <xf numFmtId="9" fontId="8" fillId="0" borderId="20" xfId="0" applyNumberFormat="1" applyFont="1" applyFill="1" applyBorder="1" applyAlignment="1">
      <alignment horizontal="center"/>
    </xf>
    <xf numFmtId="4" fontId="8" fillId="0" borderId="20" xfId="0" applyNumberFormat="1" applyFont="1" applyFill="1" applyBorder="1"/>
    <xf numFmtId="4" fontId="33" fillId="8" borderId="20" xfId="0" applyNumberFormat="1" applyFont="1" applyFill="1" applyBorder="1"/>
    <xf numFmtId="4" fontId="33" fillId="8" borderId="21" xfId="0" applyNumberFormat="1" applyFont="1" applyFill="1" applyBorder="1"/>
    <xf numFmtId="9" fontId="8" fillId="0" borderId="20" xfId="0" applyNumberFormat="1" applyFont="1" applyBorder="1" applyAlignment="1">
      <alignment horizontal="center"/>
    </xf>
    <xf numFmtId="0" fontId="33" fillId="0" borderId="1" xfId="0" applyFont="1" applyBorder="1"/>
    <xf numFmtId="9" fontId="8" fillId="0" borderId="3" xfId="0" applyNumberFormat="1" applyFont="1" applyBorder="1" applyAlignment="1">
      <alignment horizontal="center"/>
    </xf>
    <xf numFmtId="4" fontId="8" fillId="0" borderId="3" xfId="0" applyNumberFormat="1" applyFont="1" applyBorder="1"/>
    <xf numFmtId="4" fontId="8" fillId="0" borderId="3" xfId="0" applyNumberFormat="1" applyFont="1" applyFill="1" applyBorder="1"/>
    <xf numFmtId="4" fontId="18" fillId="0" borderId="3" xfId="0" applyNumberFormat="1" applyFont="1" applyBorder="1"/>
    <xf numFmtId="4" fontId="33" fillId="8" borderId="3" xfId="0" applyNumberFormat="1" applyFont="1" applyFill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4" fontId="33" fillId="8" borderId="11" xfId="0" applyNumberFormat="1" applyFont="1" applyFill="1" applyBorder="1"/>
    <xf numFmtId="4" fontId="33" fillId="10" borderId="44" xfId="0" applyNumberFormat="1" applyFont="1" applyFill="1" applyBorder="1"/>
    <xf numFmtId="4" fontId="33" fillId="10" borderId="45" xfId="0" applyNumberFormat="1" applyFont="1" applyFill="1" applyBorder="1"/>
    <xf numFmtId="0" fontId="33" fillId="10" borderId="45" xfId="0" applyNumberFormat="1" applyFont="1" applyFill="1" applyBorder="1" applyAlignment="1">
      <alignment horizontal="center"/>
    </xf>
    <xf numFmtId="0" fontId="42" fillId="8" borderId="22" xfId="0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3" fontId="8" fillId="0" borderId="20" xfId="0" applyNumberFormat="1" applyFont="1" applyBorder="1" applyAlignment="1">
      <alignment horizontal="center"/>
    </xf>
    <xf numFmtId="3" fontId="8" fillId="0" borderId="20" xfId="0" applyNumberFormat="1" applyFont="1" applyFill="1" applyBorder="1" applyAlignment="1">
      <alignment horizontal="center"/>
    </xf>
    <xf numFmtId="4" fontId="33" fillId="10" borderId="20" xfId="0" applyNumberFormat="1" applyFont="1" applyFill="1" applyBorder="1"/>
    <xf numFmtId="4" fontId="8" fillId="0" borderId="27" xfId="59" applyNumberFormat="1" applyFont="1" applyBorder="1"/>
    <xf numFmtId="4" fontId="8" fillId="0" borderId="20" xfId="59" applyNumberFormat="1" applyFont="1" applyBorder="1"/>
    <xf numFmtId="0" fontId="5" fillId="0" borderId="20" xfId="0" applyFont="1" applyFill="1" applyBorder="1" applyAlignment="1">
      <alignment horizontal="left" vertical="center"/>
    </xf>
    <xf numFmtId="0" fontId="5" fillId="9" borderId="20" xfId="0" applyFont="1" applyFill="1" applyBorder="1"/>
    <xf numFmtId="177" fontId="8" fillId="0" borderId="20" xfId="0" applyNumberFormat="1" applyFont="1" applyFill="1" applyBorder="1" applyAlignment="1">
      <alignment horizontal="center" vertical="center"/>
    </xf>
    <xf numFmtId="4" fontId="8" fillId="0" borderId="8" xfId="0" applyNumberFormat="1" applyFont="1" applyBorder="1"/>
    <xf numFmtId="0" fontId="8" fillId="0" borderId="8" xfId="0" applyFont="1" applyBorder="1"/>
    <xf numFmtId="0" fontId="8" fillId="0" borderId="29" xfId="0" applyFont="1" applyBorder="1"/>
    <xf numFmtId="4" fontId="8" fillId="0" borderId="0" xfId="0" applyNumberFormat="1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30" xfId="0" applyFont="1" applyBorder="1"/>
    <xf numFmtId="0" fontId="33" fillId="8" borderId="22" xfId="0" applyFont="1" applyFill="1" applyBorder="1" applyAlignment="1">
      <alignment wrapText="1"/>
    </xf>
    <xf numFmtId="0" fontId="33" fillId="8" borderId="22" xfId="0" applyFont="1" applyFill="1" applyBorder="1" applyAlignment="1">
      <alignment horizontal="center" wrapText="1"/>
    </xf>
    <xf numFmtId="0" fontId="8" fillId="0" borderId="23" xfId="0" applyFont="1" applyBorder="1"/>
    <xf numFmtId="4" fontId="8" fillId="0" borderId="23" xfId="0" applyNumberFormat="1" applyFont="1" applyBorder="1" applyAlignment="1">
      <alignment horizontal="center"/>
    </xf>
    <xf numFmtId="4" fontId="8" fillId="0" borderId="23" xfId="0" applyNumberFormat="1" applyFont="1" applyBorder="1"/>
    <xf numFmtId="0" fontId="8" fillId="0" borderId="27" xfId="0" applyFont="1" applyFill="1" applyBorder="1"/>
    <xf numFmtId="4" fontId="8" fillId="0" borderId="25" xfId="0" applyNumberFormat="1" applyFont="1" applyBorder="1" applyAlignment="1">
      <alignment horizontal="center"/>
    </xf>
    <xf numFmtId="4" fontId="8" fillId="8" borderId="26" xfId="0" applyNumberFormat="1" applyFont="1" applyFill="1" applyBorder="1"/>
    <xf numFmtId="0" fontId="33" fillId="8" borderId="22" xfId="0" applyFont="1" applyFill="1" applyBorder="1" applyAlignment="1">
      <alignment vertical="center" wrapText="1"/>
    </xf>
    <xf numFmtId="43" fontId="8" fillId="0" borderId="0" xfId="0" applyNumberFormat="1" applyFont="1"/>
    <xf numFmtId="4" fontId="33" fillId="0" borderId="0" xfId="0" applyNumberFormat="1" applyFont="1" applyFill="1" applyBorder="1"/>
    <xf numFmtId="0" fontId="43" fillId="11" borderId="44" xfId="0" applyFont="1" applyFill="1" applyBorder="1" applyAlignment="1">
      <alignment vertical="center"/>
    </xf>
    <xf numFmtId="0" fontId="43" fillId="11" borderId="45" xfId="0" applyFont="1" applyFill="1" applyBorder="1" applyAlignment="1">
      <alignment vertical="center"/>
    </xf>
    <xf numFmtId="0" fontId="43" fillId="11" borderId="47" xfId="0" applyFont="1" applyFill="1" applyBorder="1" applyAlignment="1">
      <alignment vertical="center"/>
    </xf>
    <xf numFmtId="0" fontId="43" fillId="11" borderId="4" xfId="0" applyFont="1" applyFill="1" applyBorder="1" applyAlignment="1">
      <alignment horizontal="center" vertical="center" wrapText="1"/>
    </xf>
    <xf numFmtId="4" fontId="44" fillId="0" borderId="39" xfId="0" applyNumberFormat="1" applyFont="1" applyBorder="1"/>
    <xf numFmtId="4" fontId="44" fillId="0" borderId="40" xfId="0" applyNumberFormat="1" applyFont="1" applyBorder="1"/>
    <xf numFmtId="4" fontId="44" fillId="0" borderId="43" xfId="0" applyNumberFormat="1" applyFont="1" applyBorder="1"/>
    <xf numFmtId="177" fontId="23" fillId="9" borderId="20" xfId="59" applyNumberFormat="1" applyFont="1" applyFill="1" applyBorder="1"/>
    <xf numFmtId="0" fontId="5" fillId="0" borderId="20" xfId="0" applyFont="1" applyFill="1" applyBorder="1" applyAlignment="1">
      <alignment vertical="center"/>
    </xf>
    <xf numFmtId="4" fontId="8" fillId="0" borderId="26" xfId="0" applyNumberFormat="1" applyFont="1" applyBorder="1" applyAlignment="1">
      <alignment vertical="center"/>
    </xf>
    <xf numFmtId="4" fontId="5" fillId="9" borderId="27" xfId="59" applyNumberFormat="1" applyFont="1" applyFill="1" applyBorder="1"/>
    <xf numFmtId="4" fontId="5" fillId="9" borderId="20" xfId="59" applyNumberFormat="1" applyFont="1" applyFill="1" applyBorder="1"/>
    <xf numFmtId="182" fontId="5" fillId="0" borderId="0" xfId="1" applyNumberFormat="1" applyFont="1" applyAlignment="1">
      <alignment vertical="center"/>
    </xf>
    <xf numFmtId="0" fontId="10" fillId="5" borderId="0" xfId="0" applyFont="1" applyFill="1"/>
    <xf numFmtId="0" fontId="8" fillId="0" borderId="0" xfId="1" applyFont="1" applyAlignment="1">
      <alignment horizontal="center" vertical="center" wrapText="1"/>
    </xf>
    <xf numFmtId="0" fontId="8" fillId="0" borderId="45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4" fontId="5" fillId="0" borderId="45" xfId="0" applyNumberFormat="1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43" fontId="9" fillId="2" borderId="11" xfId="59" applyFont="1" applyFill="1" applyBorder="1" applyAlignment="1">
      <alignment horizontal="center" vertical="center"/>
    </xf>
    <xf numFmtId="10" fontId="4" fillId="0" borderId="37" xfId="0" applyNumberFormat="1" applyFont="1" applyBorder="1" applyAlignment="1">
      <alignment vertical="center"/>
    </xf>
    <xf numFmtId="10" fontId="4" fillId="0" borderId="18" xfId="0" applyNumberFormat="1" applyFont="1" applyBorder="1" applyAlignment="1">
      <alignment vertical="center"/>
    </xf>
    <xf numFmtId="4" fontId="45" fillId="9" borderId="4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45" fillId="10" borderId="4" xfId="0" applyNumberFormat="1" applyFont="1" applyFill="1" applyBorder="1" applyAlignment="1">
      <alignment vertical="center"/>
    </xf>
    <xf numFmtId="43" fontId="8" fillId="0" borderId="0" xfId="59" applyFont="1" applyAlignment="1">
      <alignment vertical="center" wrapText="1"/>
    </xf>
    <xf numFmtId="0" fontId="33" fillId="11" borderId="7" xfId="0" applyFont="1" applyFill="1" applyBorder="1"/>
    <xf numFmtId="0" fontId="8" fillId="11" borderId="13" xfId="0" applyFont="1" applyFill="1" applyBorder="1"/>
    <xf numFmtId="0" fontId="26" fillId="0" borderId="22" xfId="0" applyFont="1" applyBorder="1" applyAlignment="1">
      <alignment horizontal="center" vertical="center" wrapText="1"/>
    </xf>
    <xf numFmtId="4" fontId="26" fillId="0" borderId="22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37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9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37" xfId="0" applyFont="1" applyBorder="1" applyAlignment="1">
      <alignment horizontal="left" wrapText="1"/>
    </xf>
    <xf numFmtId="0" fontId="9" fillId="11" borderId="5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11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44" fontId="0" fillId="0" borderId="20" xfId="61" applyFont="1" applyBorder="1" applyAlignment="1">
      <alignment horizontal="center" vertical="center"/>
    </xf>
    <xf numFmtId="183" fontId="8" fillId="0" borderId="0" xfId="59" applyNumberFormat="1" applyFont="1"/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2" fontId="0" fillId="0" borderId="20" xfId="0" applyNumberFormat="1" applyFont="1" applyBorder="1" applyAlignment="1">
      <alignment horizontal="center" vertical="center"/>
    </xf>
    <xf numFmtId="44" fontId="0" fillId="0" borderId="20" xfId="0" applyNumberFormat="1" applyFont="1" applyBorder="1" applyAlignment="1">
      <alignment horizontal="center" vertical="center"/>
    </xf>
    <xf numFmtId="4" fontId="33" fillId="0" borderId="22" xfId="0" applyNumberFormat="1" applyFont="1" applyBorder="1" applyAlignment="1">
      <alignment horizontal="center" vertical="center" wrapText="1"/>
    </xf>
    <xf numFmtId="3" fontId="9" fillId="0" borderId="20" xfId="0" applyNumberFormat="1" applyFont="1" applyBorder="1" applyAlignment="1">
      <alignment horizontal="center"/>
    </xf>
    <xf numFmtId="0" fontId="47" fillId="10" borderId="20" xfId="0" applyNumberFormat="1" applyFont="1" applyFill="1" applyBorder="1" applyAlignment="1">
      <alignment horizontal="center"/>
    </xf>
    <xf numFmtId="0" fontId="26" fillId="0" borderId="20" xfId="0" applyFont="1" applyBorder="1" applyAlignment="1"/>
    <xf numFmtId="10" fontId="8" fillId="0" borderId="20" xfId="60" applyNumberFormat="1" applyFont="1" applyBorder="1" applyAlignment="1"/>
    <xf numFmtId="4" fontId="8" fillId="0" borderId="20" xfId="0" applyNumberFormat="1" applyFont="1" applyBorder="1" applyAlignment="1"/>
    <xf numFmtId="4" fontId="26" fillId="8" borderId="20" xfId="0" applyNumberFormat="1" applyFont="1" applyFill="1" applyBorder="1" applyAlignment="1"/>
    <xf numFmtId="43" fontId="8" fillId="0" borderId="20" xfId="59" applyFont="1" applyBorder="1" applyAlignment="1"/>
    <xf numFmtId="0" fontId="47" fillId="5" borderId="20" xfId="0" applyNumberFormat="1" applyFont="1" applyFill="1" applyBorder="1" applyAlignment="1">
      <alignment horizontal="center"/>
    </xf>
    <xf numFmtId="4" fontId="23" fillId="0" borderId="0" xfId="0" applyNumberFormat="1" applyFont="1" applyAlignment="1">
      <alignment horizontal="center"/>
    </xf>
    <xf numFmtId="0" fontId="24" fillId="0" borderId="0" xfId="0" applyFont="1"/>
    <xf numFmtId="0" fontId="29" fillId="0" borderId="20" xfId="0" applyFont="1" applyBorder="1" applyAlignment="1">
      <alignment horizontal="center"/>
    </xf>
    <xf numFmtId="0" fontId="29" fillId="9" borderId="20" xfId="0" applyFont="1" applyFill="1" applyBorder="1" applyAlignment="1">
      <alignment horizontal="center"/>
    </xf>
    <xf numFmtId="44" fontId="8" fillId="0" borderId="20" xfId="61" applyFont="1" applyFill="1" applyBorder="1"/>
    <xf numFmtId="4" fontId="8" fillId="11" borderId="13" xfId="0" applyNumberFormat="1" applyFont="1" applyFill="1" applyBorder="1"/>
    <xf numFmtId="0" fontId="51" fillId="0" borderId="63" xfId="0" applyFont="1" applyBorder="1" applyAlignment="1">
      <alignment vertical="center" wrapText="1"/>
    </xf>
    <xf numFmtId="0" fontId="50" fillId="0" borderId="66" xfId="0" applyFont="1" applyBorder="1" applyAlignment="1">
      <alignment horizontal="center" vertical="center" wrapText="1"/>
    </xf>
    <xf numFmtId="0" fontId="50" fillId="0" borderId="66" xfId="0" applyFont="1" applyBorder="1" applyAlignment="1">
      <alignment horizontal="right" vertical="center" wrapText="1"/>
    </xf>
    <xf numFmtId="0" fontId="49" fillId="0" borderId="60" xfId="0" applyFont="1" applyBorder="1" applyAlignment="1">
      <alignment vertical="center" wrapText="1"/>
    </xf>
    <xf numFmtId="0" fontId="49" fillId="0" borderId="66" xfId="0" applyFont="1" applyBorder="1" applyAlignment="1">
      <alignment horizontal="center" vertical="center" wrapText="1"/>
    </xf>
    <xf numFmtId="0" fontId="49" fillId="0" borderId="66" xfId="0" applyFont="1" applyBorder="1" applyAlignment="1">
      <alignment horizontal="left" vertical="center" wrapText="1" indent="2"/>
    </xf>
    <xf numFmtId="0" fontId="49" fillId="0" borderId="66" xfId="0" applyFont="1" applyBorder="1" applyAlignment="1">
      <alignment horizontal="right" vertical="center" wrapText="1"/>
    </xf>
    <xf numFmtId="0" fontId="49" fillId="0" borderId="66" xfId="0" applyFont="1" applyBorder="1" applyAlignment="1">
      <alignment vertical="center" wrapText="1"/>
    </xf>
    <xf numFmtId="0" fontId="49" fillId="0" borderId="66" xfId="0" applyFont="1" applyBorder="1" applyAlignment="1">
      <alignment horizontal="left" vertical="center" wrapText="1" indent="1"/>
    </xf>
    <xf numFmtId="0" fontId="52" fillId="0" borderId="63" xfId="0" applyFont="1" applyBorder="1" applyAlignment="1">
      <alignment vertical="center" wrapText="1"/>
    </xf>
    <xf numFmtId="0" fontId="50" fillId="0" borderId="70" xfId="0" applyFont="1" applyBorder="1" applyAlignment="1">
      <alignment horizontal="center" vertical="center" wrapText="1"/>
    </xf>
    <xf numFmtId="0" fontId="53" fillId="0" borderId="71" xfId="0" applyFont="1" applyBorder="1" applyAlignment="1">
      <alignment vertical="center" wrapText="1"/>
    </xf>
    <xf numFmtId="0" fontId="51" fillId="0" borderId="72" xfId="0" applyFont="1" applyBorder="1" applyAlignment="1">
      <alignment vertical="center" wrapText="1"/>
    </xf>
    <xf numFmtId="0" fontId="50" fillId="0" borderId="75" xfId="0" applyFont="1" applyBorder="1" applyAlignment="1">
      <alignment horizontal="center" vertical="center" wrapText="1"/>
    </xf>
    <xf numFmtId="0" fontId="49" fillId="0" borderId="69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0" fillId="0" borderId="74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9" xfId="0" applyFont="1" applyBorder="1" applyAlignment="1">
      <alignment vertical="center" wrapText="1"/>
    </xf>
    <xf numFmtId="0" fontId="50" fillId="0" borderId="18" xfId="0" applyFont="1" applyBorder="1" applyAlignment="1">
      <alignment vertical="center" wrapText="1"/>
    </xf>
    <xf numFmtId="0" fontId="50" fillId="0" borderId="37" xfId="0" applyFont="1" applyBorder="1" applyAlignment="1">
      <alignment vertical="center" wrapText="1"/>
    </xf>
    <xf numFmtId="0" fontId="50" fillId="0" borderId="9" xfId="0" applyFont="1" applyBorder="1" applyAlignment="1">
      <alignment horizontal="right" vertical="center" wrapText="1"/>
    </xf>
    <xf numFmtId="184" fontId="8" fillId="0" borderId="0" xfId="0" applyNumberFormat="1" applyFont="1" applyAlignment="1"/>
    <xf numFmtId="185" fontId="54" fillId="0" borderId="0" xfId="0" applyNumberFormat="1" applyFont="1"/>
    <xf numFmtId="186" fontId="40" fillId="0" borderId="0" xfId="0" applyNumberFormat="1" applyFont="1"/>
    <xf numFmtId="0" fontId="40" fillId="0" borderId="0" xfId="0" applyFont="1" applyBorder="1" applyAlignment="1">
      <alignment wrapText="1"/>
    </xf>
    <xf numFmtId="44" fontId="40" fillId="0" borderId="0" xfId="61" applyFont="1" applyBorder="1" applyAlignment="1">
      <alignment horizontal="center" vertical="center"/>
    </xf>
    <xf numFmtId="44" fontId="40" fillId="0" borderId="0" xfId="61" applyFont="1" applyFill="1" applyBorder="1"/>
    <xf numFmtId="0" fontId="8" fillId="11" borderId="19" xfId="0" applyFont="1" applyFill="1" applyBorder="1"/>
    <xf numFmtId="4" fontId="33" fillId="8" borderId="2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/>
    <xf numFmtId="166" fontId="24" fillId="0" borderId="79" xfId="1" applyNumberFormat="1" applyFont="1" applyBorder="1" applyAlignment="1">
      <alignment horizontal="center" vertical="center"/>
    </xf>
    <xf numFmtId="0" fontId="24" fillId="0" borderId="54" xfId="1" applyFont="1" applyBorder="1" applyAlignment="1">
      <alignment vertical="center" wrapText="1"/>
    </xf>
    <xf numFmtId="0" fontId="24" fillId="0" borderId="54" xfId="1" applyFont="1" applyBorder="1" applyAlignment="1">
      <alignment horizontal="center" vertical="center"/>
    </xf>
    <xf numFmtId="43" fontId="24" fillId="0" borderId="54" xfId="1" applyNumberFormat="1" applyFont="1" applyBorder="1" applyAlignment="1">
      <alignment horizontal="center" vertical="center"/>
    </xf>
    <xf numFmtId="165" fontId="24" fillId="3" borderId="55" xfId="2" applyNumberFormat="1" applyFont="1" applyFill="1" applyBorder="1" applyAlignment="1">
      <alignment horizontal="center" vertical="center"/>
    </xf>
    <xf numFmtId="165" fontId="24" fillId="3" borderId="80" xfId="2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44" fontId="0" fillId="0" borderId="20" xfId="0" applyNumberFormat="1" applyBorder="1"/>
    <xf numFmtId="44" fontId="0" fillId="0" borderId="20" xfId="61" applyFont="1" applyBorder="1" applyAlignment="1">
      <alignment vertical="center"/>
    </xf>
    <xf numFmtId="44" fontId="16" fillId="13" borderId="26" xfId="0" applyNumberFormat="1" applyFont="1" applyFill="1" applyBorder="1" applyAlignment="1"/>
    <xf numFmtId="0" fontId="0" fillId="0" borderId="20" xfId="0" applyBorder="1" applyAlignment="1">
      <alignment horizontal="left" vertical="center"/>
    </xf>
    <xf numFmtId="44" fontId="0" fillId="0" borderId="20" xfId="61" applyFont="1" applyBorder="1" applyAlignment="1">
      <alignment horizontal="center" vertical="center" wrapText="1"/>
    </xf>
    <xf numFmtId="2" fontId="0" fillId="0" borderId="20" xfId="0" applyNumberFormat="1" applyBorder="1" applyAlignment="1">
      <alignment horizontal="center" vertical="center" wrapText="1"/>
    </xf>
    <xf numFmtId="2" fontId="0" fillId="0" borderId="20" xfId="61" applyNumberFormat="1" applyFont="1" applyBorder="1" applyAlignment="1">
      <alignment horizontal="center" vertical="center"/>
    </xf>
    <xf numFmtId="175" fontId="0" fillId="0" borderId="20" xfId="59" applyNumberFormat="1" applyFont="1" applyBorder="1" applyAlignment="1">
      <alignment horizontal="center" vertical="center"/>
    </xf>
    <xf numFmtId="2" fontId="0" fillId="0" borderId="20" xfId="0" applyNumberFormat="1" applyBorder="1" applyAlignment="1">
      <alignment vertical="center" wrapText="1"/>
    </xf>
    <xf numFmtId="44" fontId="16" fillId="14" borderId="20" xfId="0" applyNumberFormat="1" applyFont="1" applyFill="1" applyBorder="1"/>
    <xf numFmtId="0" fontId="5" fillId="0" borderId="2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44" fontId="0" fillId="0" borderId="0" xfId="0" applyNumberFormat="1"/>
    <xf numFmtId="10" fontId="5" fillId="0" borderId="20" xfId="0" applyNumberFormat="1" applyFont="1" applyBorder="1" applyAlignment="1">
      <alignment horizontal="center"/>
    </xf>
    <xf numFmtId="44" fontId="5" fillId="0" borderId="20" xfId="0" applyNumberFormat="1" applyFont="1" applyBorder="1"/>
    <xf numFmtId="0" fontId="5" fillId="0" borderId="20" xfId="0" applyFont="1" applyBorder="1"/>
    <xf numFmtId="179" fontId="23" fillId="0" borderId="0" xfId="0" applyNumberFormat="1" applyFont="1"/>
    <xf numFmtId="181" fontId="5" fillId="0" borderId="20" xfId="0" applyNumberFormat="1" applyFont="1" applyFill="1" applyBorder="1" applyAlignment="1">
      <alignment horizontal="right" vertical="center"/>
    </xf>
    <xf numFmtId="1" fontId="8" fillId="0" borderId="20" xfId="0" applyNumberFormat="1" applyFont="1" applyBorder="1" applyAlignment="1">
      <alignment horizontal="center"/>
    </xf>
    <xf numFmtId="43" fontId="5" fillId="0" borderId="0" xfId="1" applyNumberFormat="1" applyFont="1" applyAlignment="1">
      <alignment vertical="center"/>
    </xf>
    <xf numFmtId="44" fontId="0" fillId="0" borderId="22" xfId="0" applyNumberFormat="1" applyBorder="1"/>
    <xf numFmtId="0" fontId="5" fillId="0" borderId="20" xfId="0" applyFont="1" applyBorder="1" applyAlignment="1">
      <alignment horizontal="center" vertical="center"/>
    </xf>
    <xf numFmtId="43" fontId="8" fillId="0" borderId="0" xfId="1" applyNumberFormat="1" applyFont="1" applyAlignment="1">
      <alignment vertical="center"/>
    </xf>
    <xf numFmtId="166" fontId="9" fillId="2" borderId="14" xfId="1" applyNumberFormat="1" applyFont="1" applyFill="1" applyBorder="1" applyAlignment="1">
      <alignment horizontal="center" vertical="center"/>
    </xf>
    <xf numFmtId="166" fontId="9" fillId="2" borderId="10" xfId="1" applyNumberFormat="1" applyFont="1" applyFill="1" applyBorder="1" applyAlignment="1">
      <alignment horizontal="center" vertical="center"/>
    </xf>
    <xf numFmtId="166" fontId="9" fillId="2" borderId="57" xfId="1" applyNumberFormat="1" applyFont="1" applyFill="1" applyBorder="1" applyAlignment="1">
      <alignment horizontal="center" vertical="center"/>
    </xf>
    <xf numFmtId="0" fontId="23" fillId="2" borderId="16" xfId="1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horizontal="center" vertical="center"/>
    </xf>
    <xf numFmtId="0" fontId="9" fillId="5" borderId="37" xfId="1" applyFont="1" applyFill="1" applyBorder="1" applyAlignment="1">
      <alignment horizontal="center" vertical="center"/>
    </xf>
    <xf numFmtId="0" fontId="23" fillId="2" borderId="15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169" fontId="23" fillId="2" borderId="2" xfId="1" applyNumberFormat="1" applyFont="1" applyFill="1" applyBorder="1" applyAlignment="1">
      <alignment horizontal="center" vertical="center" wrapText="1"/>
    </xf>
    <xf numFmtId="169" fontId="23" fillId="2" borderId="22" xfId="1" applyNumberFormat="1" applyFont="1" applyFill="1" applyBorder="1" applyAlignment="1">
      <alignment horizontal="center" vertical="center" wrapText="1"/>
    </xf>
    <xf numFmtId="169" fontId="23" fillId="2" borderId="49" xfId="1" applyNumberFormat="1" applyFont="1" applyFill="1" applyBorder="1" applyAlignment="1">
      <alignment horizontal="center" vertical="center" wrapText="1"/>
    </xf>
    <xf numFmtId="169" fontId="23" fillId="2" borderId="50" xfId="1" applyNumberFormat="1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11" borderId="19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14" fontId="24" fillId="5" borderId="9" xfId="0" applyNumberFormat="1" applyFont="1" applyFill="1" applyBorder="1" applyAlignment="1">
      <alignment horizontal="left" vertical="center"/>
    </xf>
    <xf numFmtId="0" fontId="24" fillId="0" borderId="18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23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5" fillId="9" borderId="9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9" borderId="37" xfId="0" applyFont="1" applyFill="1" applyBorder="1" applyAlignment="1">
      <alignment horizontal="center"/>
    </xf>
    <xf numFmtId="0" fontId="24" fillId="0" borderId="9" xfId="0" applyFont="1" applyBorder="1" applyAlignment="1">
      <alignment horizontal="left" wrapText="1"/>
    </xf>
    <xf numFmtId="0" fontId="24" fillId="0" borderId="18" xfId="0" applyFont="1" applyBorder="1" applyAlignment="1">
      <alignment horizontal="left" wrapText="1"/>
    </xf>
    <xf numFmtId="0" fontId="24" fillId="0" borderId="3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8" fillId="5" borderId="37" xfId="0" applyFont="1" applyFill="1" applyBorder="1" applyAlignment="1">
      <alignment horizontal="left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29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 readingOrder="1"/>
    </xf>
    <xf numFmtId="0" fontId="7" fillId="8" borderId="28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37" xfId="0" applyFont="1" applyBorder="1" applyAlignment="1">
      <alignment horizontal="left" wrapText="1"/>
    </xf>
    <xf numFmtId="0" fontId="5" fillId="0" borderId="9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37" xfId="0" applyFont="1" applyFill="1" applyBorder="1" applyAlignment="1">
      <alignment horizontal="left"/>
    </xf>
    <xf numFmtId="0" fontId="9" fillId="11" borderId="9" xfId="0" applyFont="1" applyFill="1" applyBorder="1" applyAlignment="1">
      <alignment horizontal="left"/>
    </xf>
    <xf numFmtId="0" fontId="9" fillId="11" borderId="18" xfId="0" applyFont="1" applyFill="1" applyBorder="1" applyAlignment="1">
      <alignment horizontal="left"/>
    </xf>
    <xf numFmtId="0" fontId="9" fillId="11" borderId="37" xfId="0" applyFont="1" applyFill="1" applyBorder="1" applyAlignment="1">
      <alignment horizontal="left"/>
    </xf>
    <xf numFmtId="0" fontId="23" fillId="0" borderId="9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33" fillId="0" borderId="13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11" borderId="9" xfId="0" applyFont="1" applyFill="1" applyBorder="1" applyAlignment="1">
      <alignment horizontal="right" vertical="center"/>
    </xf>
    <xf numFmtId="0" fontId="4" fillId="11" borderId="18" xfId="0" applyFont="1" applyFill="1" applyBorder="1" applyAlignment="1">
      <alignment horizontal="right" vertical="center"/>
    </xf>
    <xf numFmtId="0" fontId="4" fillId="11" borderId="37" xfId="0" applyFont="1" applyFill="1" applyBorder="1" applyAlignment="1">
      <alignment horizontal="right" vertical="center"/>
    </xf>
    <xf numFmtId="0" fontId="4" fillId="8" borderId="9" xfId="0" applyFont="1" applyFill="1" applyBorder="1" applyAlignment="1">
      <alignment horizontal="right" vertical="center"/>
    </xf>
    <xf numFmtId="0" fontId="4" fillId="8" borderId="18" xfId="0" applyFont="1" applyFill="1" applyBorder="1" applyAlignment="1">
      <alignment horizontal="right" vertical="center"/>
    </xf>
    <xf numFmtId="0" fontId="4" fillId="8" borderId="37" xfId="0" applyFont="1" applyFill="1" applyBorder="1" applyAlignment="1">
      <alignment horizontal="right" vertical="center"/>
    </xf>
    <xf numFmtId="0" fontId="24" fillId="0" borderId="0" xfId="0" applyFont="1" applyBorder="1" applyAlignment="1">
      <alignment horizontal="left" vertical="center" wrapText="1"/>
    </xf>
    <xf numFmtId="4" fontId="4" fillId="5" borderId="0" xfId="0" applyNumberFormat="1" applyFont="1" applyFill="1" applyBorder="1" applyAlignment="1">
      <alignment horizontal="right"/>
    </xf>
    <xf numFmtId="4" fontId="44" fillId="5" borderId="0" xfId="0" applyNumberFormat="1" applyFont="1" applyFill="1" applyBorder="1" applyAlignment="1">
      <alignment horizontal="right"/>
    </xf>
    <xf numFmtId="0" fontId="43" fillId="5" borderId="0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 wrapText="1"/>
    </xf>
    <xf numFmtId="4" fontId="23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left"/>
    </xf>
    <xf numFmtId="0" fontId="20" fillId="7" borderId="18" xfId="0" applyFont="1" applyFill="1" applyBorder="1" applyAlignment="1">
      <alignment horizontal="left"/>
    </xf>
    <xf numFmtId="0" fontId="20" fillId="7" borderId="37" xfId="0" applyFont="1" applyFill="1" applyBorder="1" applyAlignment="1">
      <alignment horizontal="left"/>
    </xf>
    <xf numFmtId="0" fontId="9" fillId="6" borderId="12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left"/>
    </xf>
    <xf numFmtId="0" fontId="9" fillId="7" borderId="18" xfId="0" applyFont="1" applyFill="1" applyBorder="1" applyAlignment="1">
      <alignment horizontal="left"/>
    </xf>
    <xf numFmtId="0" fontId="9" fillId="7" borderId="37" xfId="0" applyFont="1" applyFill="1" applyBorder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23" fillId="0" borderId="9" xfId="0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horizontal="right" vertical="center"/>
    </xf>
    <xf numFmtId="0" fontId="23" fillId="12" borderId="9" xfId="0" applyFont="1" applyFill="1" applyBorder="1" applyAlignment="1">
      <alignment horizontal="right" vertical="center"/>
    </xf>
    <xf numFmtId="0" fontId="23" fillId="12" borderId="18" xfId="0" applyFont="1" applyFill="1" applyBorder="1" applyAlignment="1">
      <alignment horizontal="right" vertical="center"/>
    </xf>
    <xf numFmtId="0" fontId="23" fillId="12" borderId="37" xfId="0" applyFont="1" applyFill="1" applyBorder="1" applyAlignment="1">
      <alignment horizontal="righ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8" xfId="0" applyFont="1" applyFill="1" applyBorder="1" applyAlignment="1">
      <alignment horizontal="right" vertical="center"/>
    </xf>
    <xf numFmtId="0" fontId="23" fillId="8" borderId="37" xfId="0" applyFont="1" applyFill="1" applyBorder="1" applyAlignment="1">
      <alignment horizontal="right" vertical="center"/>
    </xf>
    <xf numFmtId="0" fontId="45" fillId="9" borderId="9" xfId="0" applyFont="1" applyFill="1" applyBorder="1" applyAlignment="1">
      <alignment horizontal="center" vertical="center"/>
    </xf>
    <xf numFmtId="0" fontId="45" fillId="9" borderId="18" xfId="0" applyFont="1" applyFill="1" applyBorder="1" applyAlignment="1">
      <alignment horizontal="center" vertical="center"/>
    </xf>
    <xf numFmtId="0" fontId="45" fillId="9" borderId="37" xfId="0" applyFont="1" applyFill="1" applyBorder="1" applyAlignment="1">
      <alignment horizontal="center" vertical="center"/>
    </xf>
    <xf numFmtId="0" fontId="45" fillId="10" borderId="9" xfId="0" applyFont="1" applyFill="1" applyBorder="1" applyAlignment="1">
      <alignment horizontal="center" vertical="center"/>
    </xf>
    <xf numFmtId="0" fontId="45" fillId="10" borderId="18" xfId="0" applyFont="1" applyFill="1" applyBorder="1" applyAlignment="1">
      <alignment horizontal="center" vertical="center"/>
    </xf>
    <xf numFmtId="0" fontId="45" fillId="10" borderId="37" xfId="0" applyFont="1" applyFill="1" applyBorder="1" applyAlignment="1">
      <alignment horizontal="center" vertical="center"/>
    </xf>
    <xf numFmtId="0" fontId="29" fillId="11" borderId="12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29" fillId="11" borderId="29" xfId="0" applyFont="1" applyFill="1" applyBorder="1" applyAlignment="1">
      <alignment horizontal="center" vertical="center"/>
    </xf>
    <xf numFmtId="0" fontId="29" fillId="11" borderId="7" xfId="0" applyFont="1" applyFill="1" applyBorder="1" applyAlignment="1">
      <alignment horizontal="center" vertical="center"/>
    </xf>
    <xf numFmtId="0" fontId="29" fillId="11" borderId="13" xfId="0" applyFont="1" applyFill="1" applyBorder="1" applyAlignment="1">
      <alignment horizontal="center" vertical="center"/>
    </xf>
    <xf numFmtId="0" fontId="29" fillId="11" borderId="30" xfId="0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30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19" fillId="5" borderId="56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5" fillId="0" borderId="58" xfId="0" applyFont="1" applyBorder="1" applyAlignment="1">
      <alignment horizontal="right" vertical="center"/>
    </xf>
    <xf numFmtId="0" fontId="4" fillId="9" borderId="20" xfId="1" applyFont="1" applyFill="1" applyBorder="1" applyAlignment="1">
      <alignment horizontal="center"/>
    </xf>
    <xf numFmtId="0" fontId="4" fillId="10" borderId="20" xfId="1" applyFont="1" applyFill="1" applyBorder="1" applyAlignment="1">
      <alignment horizontal="center"/>
    </xf>
    <xf numFmtId="4" fontId="23" fillId="5" borderId="56" xfId="0" applyNumberFormat="1" applyFont="1" applyFill="1" applyBorder="1" applyAlignment="1">
      <alignment horizontal="right" vertical="center"/>
    </xf>
    <xf numFmtId="4" fontId="23" fillId="5" borderId="35" xfId="0" applyNumberFormat="1" applyFont="1" applyFill="1" applyBorder="1" applyAlignment="1">
      <alignment horizontal="right" vertical="center"/>
    </xf>
    <xf numFmtId="4" fontId="16" fillId="5" borderId="5" xfId="0" applyNumberFormat="1" applyFont="1" applyFill="1" applyBorder="1" applyAlignment="1">
      <alignment horizontal="right" vertical="center"/>
    </xf>
    <xf numFmtId="4" fontId="16" fillId="5" borderId="0" xfId="0" applyNumberFormat="1" applyFont="1" applyFill="1" applyBorder="1" applyAlignment="1">
      <alignment horizontal="right" vertical="center"/>
    </xf>
    <xf numFmtId="0" fontId="55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16" fillId="13" borderId="20" xfId="0" applyFont="1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0" xfId="0" applyBorder="1" applyAlignment="1">
      <alignment horizontal="left"/>
    </xf>
    <xf numFmtId="0" fontId="8" fillId="0" borderId="2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16" fillId="14" borderId="20" xfId="0" applyFont="1" applyFill="1" applyBorder="1" applyAlignment="1">
      <alignment horizontal="left"/>
    </xf>
    <xf numFmtId="2" fontId="0" fillId="0" borderId="53" xfId="0" applyNumberFormat="1" applyBorder="1" applyAlignment="1">
      <alignment horizontal="center" vertical="center" wrapText="1"/>
    </xf>
    <xf numFmtId="2" fontId="0" fillId="0" borderId="54" xfId="0" applyNumberFormat="1" applyBorder="1" applyAlignment="1">
      <alignment horizontal="center" vertical="center" wrapText="1"/>
    </xf>
    <xf numFmtId="2" fontId="0" fillId="0" borderId="55" xfId="0" applyNumberFormat="1" applyBorder="1" applyAlignment="1">
      <alignment horizontal="center" vertical="center" wrapText="1"/>
    </xf>
    <xf numFmtId="2" fontId="0" fillId="0" borderId="35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83" xfId="0" applyNumberForma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36" fillId="5" borderId="0" xfId="0" applyFont="1" applyFill="1" applyAlignment="1">
      <alignment horizontal="center"/>
    </xf>
    <xf numFmtId="0" fontId="52" fillId="0" borderId="59" xfId="0" applyFont="1" applyBorder="1" applyAlignment="1">
      <alignment vertical="center" wrapText="1"/>
    </xf>
    <xf numFmtId="0" fontId="52" fillId="0" borderId="60" xfId="0" applyFont="1" applyBorder="1" applyAlignment="1">
      <alignment vertical="center" wrapText="1"/>
    </xf>
    <xf numFmtId="0" fontId="48" fillId="0" borderId="68" xfId="0" applyFont="1" applyBorder="1" applyAlignment="1">
      <alignment horizontal="center" vertical="center" wrapText="1"/>
    </xf>
    <xf numFmtId="0" fontId="48" fillId="0" borderId="62" xfId="0" applyFont="1" applyBorder="1" applyAlignment="1">
      <alignment horizontal="center" vertical="center" wrapText="1"/>
    </xf>
    <xf numFmtId="0" fontId="48" fillId="0" borderId="61" xfId="0" applyFont="1" applyBorder="1" applyAlignment="1">
      <alignment horizontal="center" vertical="center" wrapText="1"/>
    </xf>
    <xf numFmtId="0" fontId="49" fillId="0" borderId="68" xfId="0" applyFont="1" applyBorder="1" applyAlignment="1">
      <alignment vertical="center" wrapText="1"/>
    </xf>
    <xf numFmtId="0" fontId="49" fillId="0" borderId="61" xfId="0" applyFont="1" applyBorder="1" applyAlignment="1">
      <alignment vertical="center" wrapText="1"/>
    </xf>
    <xf numFmtId="0" fontId="49" fillId="0" borderId="64" xfId="0" applyFont="1" applyBorder="1" applyAlignment="1">
      <alignment vertical="center" wrapText="1"/>
    </xf>
    <xf numFmtId="0" fontId="49" fillId="0" borderId="66" xfId="0" applyFont="1" applyBorder="1" applyAlignment="1">
      <alignment vertical="center" wrapText="1"/>
    </xf>
    <xf numFmtId="0" fontId="50" fillId="0" borderId="59" xfId="0" applyFont="1" applyBorder="1" applyAlignment="1">
      <alignment horizontal="right" vertical="center" wrapText="1"/>
    </xf>
    <xf numFmtId="0" fontId="50" fillId="0" borderId="60" xfId="0" applyFont="1" applyBorder="1" applyAlignment="1">
      <alignment horizontal="right" vertical="center" wrapText="1"/>
    </xf>
    <xf numFmtId="0" fontId="49" fillId="0" borderId="62" xfId="0" applyFont="1" applyBorder="1" applyAlignment="1">
      <alignment vertical="center" wrapText="1"/>
    </xf>
    <xf numFmtId="0" fontId="49" fillId="0" borderId="65" xfId="0" applyFont="1" applyBorder="1" applyAlignment="1">
      <alignment vertical="center" wrapText="1"/>
    </xf>
    <xf numFmtId="0" fontId="50" fillId="0" borderId="67" xfId="0" applyFont="1" applyBorder="1" applyAlignment="1">
      <alignment horizontal="center" vertical="center" wrapText="1"/>
    </xf>
    <xf numFmtId="0" fontId="50" fillId="0" borderId="76" xfId="0" applyFont="1" applyBorder="1" applyAlignment="1">
      <alignment horizontal="center" vertical="center" wrapText="1"/>
    </xf>
    <xf numFmtId="0" fontId="53" fillId="0" borderId="73" xfId="0" applyFont="1" applyBorder="1" applyAlignment="1">
      <alignment horizontal="center" vertical="center" wrapText="1"/>
    </xf>
    <xf numFmtId="0" fontId="53" fillId="0" borderId="77" xfId="0" applyFont="1" applyBorder="1" applyAlignment="1">
      <alignment horizontal="center" vertical="center" wrapText="1"/>
    </xf>
    <xf numFmtId="0" fontId="50" fillId="0" borderId="78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0" fontId="50" fillId="0" borderId="63" xfId="0" applyFont="1" applyBorder="1" applyAlignment="1">
      <alignment horizontal="center" vertical="center" wrapText="1"/>
    </xf>
    <xf numFmtId="0" fontId="50" fillId="0" borderId="75" xfId="0" applyFont="1" applyBorder="1" applyAlignment="1">
      <alignment horizontal="center" vertical="center" wrapText="1"/>
    </xf>
  </cellXfs>
  <cellStyles count="64">
    <cellStyle name="Moeda" xfId="61" builtinId="4"/>
    <cellStyle name="Moeda 2" xfId="2"/>
    <cellStyle name="Moeda 3" xfId="4"/>
    <cellStyle name="Moeda 3 2" xfId="42"/>
    <cellStyle name="Normal" xfId="0" builtinId="0"/>
    <cellStyle name="Normal 10 2" xfId="7"/>
    <cellStyle name="Normal 10 2 2" xfId="45"/>
    <cellStyle name="Normal 10 3" xfId="8"/>
    <cellStyle name="Normal 10 3 2" xfId="46"/>
    <cellStyle name="Normal 12 2" xfId="9"/>
    <cellStyle name="Normal 12 2 2" xfId="47"/>
    <cellStyle name="Normal 12 3" xfId="10"/>
    <cellStyle name="Normal 12 3 2" xfId="48"/>
    <cellStyle name="Normal 2" xfId="1"/>
    <cellStyle name="Normal 2 2" xfId="11"/>
    <cellStyle name="Normal 2 3" xfId="40"/>
    <cellStyle name="Normal 2 3 4" xfId="62"/>
    <cellStyle name="Normal 3" xfId="12"/>
    <cellStyle name="Normal 3 2" xfId="13"/>
    <cellStyle name="Normal 3 2 2" xfId="50"/>
    <cellStyle name="Normal 3 3" xfId="49"/>
    <cellStyle name="Normal 4" xfId="14"/>
    <cellStyle name="Normal 4 2" xfId="15"/>
    <cellStyle name="Normal 4 3" xfId="51"/>
    <cellStyle name="Normal 5" xfId="16"/>
    <cellStyle name="Normal 5 2" xfId="58"/>
    <cellStyle name="Normal 6" xfId="17"/>
    <cellStyle name="Normal 6 2" xfId="18"/>
    <cellStyle name="Normal 6 3" xfId="19"/>
    <cellStyle name="Normal 6 3 2" xfId="52"/>
    <cellStyle name="Normal 7" xfId="20"/>
    <cellStyle name="Normal 7 2" xfId="21"/>
    <cellStyle name="Normal 7 3" xfId="22"/>
    <cellStyle name="Normal 7 3 2" xfId="53"/>
    <cellStyle name="Normal 8" xfId="41"/>
    <cellStyle name="Normal 8 2" xfId="23"/>
    <cellStyle name="Normal 8 3" xfId="24"/>
    <cellStyle name="Normal 8 3 2" xfId="54"/>
    <cellStyle name="Normal 9 2" xfId="25"/>
    <cellStyle name="Normal 9 2 2" xfId="55"/>
    <cellStyle name="Normal 9 3" xfId="26"/>
    <cellStyle name="Normal 9 3 2" xfId="56"/>
    <cellStyle name="NUMEROS_2" xfId="27"/>
    <cellStyle name="Percentagem 2" xfId="63"/>
    <cellStyle name="Porcentagem" xfId="60" builtinId="5"/>
    <cellStyle name="Porcentagem 2" xfId="3"/>
    <cellStyle name="Porcentagem 2 2" xfId="28"/>
    <cellStyle name="Porcentagem 3" xfId="29"/>
    <cellStyle name="QUILÔMETRO_2" xfId="30"/>
    <cellStyle name="Separador de milhares 11" xfId="31"/>
    <cellStyle name="Separador de milhares 2" xfId="5"/>
    <cellStyle name="Separador de milhares 2 2" xfId="32"/>
    <cellStyle name="Separador de milhares 2 3" xfId="33"/>
    <cellStyle name="Separador de milhares 2 4" xfId="34"/>
    <cellStyle name="Separador de milhares 2 5" xfId="35"/>
    <cellStyle name="Separador de milhares 2 6" xfId="43"/>
    <cellStyle name="Separador de milhares 3" xfId="6"/>
    <cellStyle name="Separador de milhares 3 2" xfId="36"/>
    <cellStyle name="Separador de milhares 3 3" xfId="44"/>
    <cellStyle name="Vírgula" xfId="59" builtinId="3"/>
    <cellStyle name="Vírgula 2" xfId="37"/>
    <cellStyle name="Vírgula 2 2" xfId="38"/>
    <cellStyle name="Vírgula 3" xfId="39"/>
    <cellStyle name="Vírgula 3 2" xfId="57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0</xdr:rowOff>
    </xdr:from>
    <xdr:to>
      <xdr:col>4</xdr:col>
      <xdr:colOff>31115</xdr:colOff>
      <xdr:row>4</xdr:row>
      <xdr:rowOff>400050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5" y="0"/>
          <a:ext cx="3241040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9525</xdr:rowOff>
    </xdr:from>
    <xdr:to>
      <xdr:col>8</xdr:col>
      <xdr:colOff>279559</xdr:colOff>
      <xdr:row>29</xdr:row>
      <xdr:rowOff>253365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8625840" cy="2072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323850</xdr:colOff>
      <xdr:row>70</xdr:row>
      <xdr:rowOff>0</xdr:rowOff>
    </xdr:from>
    <xdr:to>
      <xdr:col>31</xdr:col>
      <xdr:colOff>13607</xdr:colOff>
      <xdr:row>92</xdr:row>
      <xdr:rowOff>145801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6150" y="30375225"/>
          <a:ext cx="5823857" cy="5086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261938</xdr:colOff>
      <xdr:row>0</xdr:row>
      <xdr:rowOff>23813</xdr:rowOff>
    </xdr:from>
    <xdr:to>
      <xdr:col>8</xdr:col>
      <xdr:colOff>37463</xdr:colOff>
      <xdr:row>7</xdr:row>
      <xdr:rowOff>23812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594" y="23813"/>
          <a:ext cx="3609338" cy="1166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649784</xdr:colOff>
      <xdr:row>7</xdr:row>
      <xdr:rowOff>55562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0446" y="0"/>
          <a:ext cx="3609338" cy="11668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494103</xdr:colOff>
      <xdr:row>7</xdr:row>
      <xdr:rowOff>68636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1559" y="0"/>
          <a:ext cx="3609338" cy="1166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18413</xdr:colOff>
      <xdr:row>0</xdr:row>
      <xdr:rowOff>1166812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0"/>
          <a:ext cx="3609338" cy="11668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160020</xdr:rowOff>
    </xdr:from>
    <xdr:to>
      <xdr:col>16</xdr:col>
      <xdr:colOff>0</xdr:colOff>
      <xdr:row>84</xdr:row>
      <xdr:rowOff>68580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10264140" cy="14074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12</xdr:col>
      <xdr:colOff>66038</xdr:colOff>
      <xdr:row>5</xdr:row>
      <xdr:rowOff>214312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0"/>
          <a:ext cx="3609338" cy="11668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3609338</xdr:colOff>
      <xdr:row>3</xdr:row>
      <xdr:rowOff>681037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0"/>
          <a:ext cx="3609338" cy="11668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RIGA&#199;&#195;O\PROJETOS\FLORES\EXECUTIV\Etapas%20Barragem\Contrato%20de%20Aruan&#227;_Defesa%20TCM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os\COMPACTA%20CONSTRUTORA%20LTDA\Itabera&#237;\PROJETOS%20ITABERAI\HIDRAULICO\MEM%20ALTO%20B%20VISTA%20ITABERA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Obras%20Adriano\006%20lote%2001\PT-13411\Boletim%20de%20Medi&#231;&#227;o%20-%20CE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Obras%20Adriano\006%20lote%2001\Boletim%20de%20Medi&#231;&#227;o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yvs%20gon&#231;alves%20silv\Desktop\DAYVS%202\PRO-24-013%20PAVIMENTA&#199;&#195;O%20EVEREST\MODELO\RECAPE\GA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\Documents\_Empresas\Golden\_Licita&#231;&#245;es\SAMA\Limpeza\Planilha%20Or&#231;amentaria%20Limpeza%20SAMA%20V%20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ERAÇÃO PAV."/>
      <sheetName val="ALTERAÇÃO PROJETO"/>
      <sheetName val="ALTERAÇÃO PAV. (SEM ADM.)"/>
      <sheetName val="ALTERAÇÃO PROJETO (SEM ADM.)"/>
      <sheetName val="CR LOTE 02"/>
      <sheetName val="DRANPX14"/>
      <sheetName val="Orçamento 1ª  ETAPA"/>
      <sheetName val="Contrato de Aruanã_Defesa TCM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ÓRM"/>
      <sheetName val="ID"/>
      <sheetName val="1"/>
      <sheetName val="MD"/>
      <sheetName val="2"/>
      <sheetName val="VZ"/>
      <sheetName val="EEA1Bomba"/>
      <sheetName val="EEA2Bombas"/>
      <sheetName val="RES"/>
      <sheetName val="REDE"/>
      <sheetName val="3"/>
      <sheetName val="LM EEAT1"/>
      <sheetName val="LM AAT"/>
      <sheetName val="LM TRAVESSIA"/>
      <sheetName val="LM INTERL"/>
      <sheetName val="LM RAP"/>
      <sheetName val="LM EEAT2"/>
      <sheetName val="LM REL"/>
      <sheetName val="LMREDE"/>
      <sheetName val="4"/>
      <sheetName val="FDEEAT1bomba"/>
      <sheetName val="FDEEAT2bombas"/>
      <sheetName val="FDRESMET RAP"/>
      <sheetName val="FDRESMET REL"/>
      <sheetName val="FD"/>
      <sheetName val="FDVRP"/>
      <sheetName val="5"/>
      <sheetName val="6"/>
      <sheetName val="Plan1"/>
    </sheetNames>
    <sheetDataSet>
      <sheetData sheetId="0">
        <row r="74">
          <cell r="J74">
            <v>0</v>
          </cell>
          <cell r="K74" t="str">
            <v>1/4</v>
          </cell>
        </row>
        <row r="75">
          <cell r="J75">
            <v>0.26</v>
          </cell>
          <cell r="K75" t="str">
            <v>1/3</v>
          </cell>
        </row>
        <row r="76">
          <cell r="J76">
            <v>0.34</v>
          </cell>
          <cell r="K76" t="str">
            <v>1/2</v>
          </cell>
        </row>
        <row r="77">
          <cell r="F77">
            <v>0</v>
          </cell>
          <cell r="G77">
            <v>50</v>
          </cell>
          <cell r="J77">
            <v>0.51</v>
          </cell>
          <cell r="K77" t="str">
            <v>3/4</v>
          </cell>
        </row>
        <row r="78">
          <cell r="F78">
            <v>2</v>
          </cell>
          <cell r="G78">
            <v>30</v>
          </cell>
          <cell r="J78">
            <v>0.76</v>
          </cell>
          <cell r="K78" t="str">
            <v>1</v>
          </cell>
        </row>
        <row r="79">
          <cell r="F79">
            <v>5</v>
          </cell>
          <cell r="G79">
            <v>20</v>
          </cell>
          <cell r="J79">
            <v>1.01</v>
          </cell>
          <cell r="K79" t="str">
            <v>1 1/2</v>
          </cell>
        </row>
        <row r="80">
          <cell r="F80">
            <v>10</v>
          </cell>
          <cell r="G80">
            <v>15</v>
          </cell>
          <cell r="J80">
            <v>1.51</v>
          </cell>
          <cell r="K80" t="str">
            <v>2</v>
          </cell>
        </row>
        <row r="81">
          <cell r="F81">
            <v>20</v>
          </cell>
          <cell r="G81">
            <v>10</v>
          </cell>
          <cell r="J81">
            <v>2.0099999999999998</v>
          </cell>
          <cell r="K81" t="str">
            <v>3</v>
          </cell>
        </row>
        <row r="82">
          <cell r="J82">
            <v>3.01</v>
          </cell>
          <cell r="K82" t="str">
            <v>5</v>
          </cell>
        </row>
        <row r="83">
          <cell r="J83">
            <v>5.01</v>
          </cell>
          <cell r="K83" t="str">
            <v>6</v>
          </cell>
        </row>
        <row r="84">
          <cell r="J84">
            <v>6.01</v>
          </cell>
          <cell r="K84" t="str">
            <v>7 1/2</v>
          </cell>
        </row>
        <row r="85">
          <cell r="J85">
            <v>7.51</v>
          </cell>
          <cell r="K85" t="str">
            <v>10</v>
          </cell>
        </row>
        <row r="86">
          <cell r="J86">
            <v>10.01</v>
          </cell>
          <cell r="K86" t="str">
            <v>12</v>
          </cell>
        </row>
        <row r="87">
          <cell r="J87">
            <v>12.01</v>
          </cell>
          <cell r="K87" t="str">
            <v>15</v>
          </cell>
        </row>
        <row r="88">
          <cell r="J88">
            <v>15.01</v>
          </cell>
          <cell r="K88" t="str">
            <v>20</v>
          </cell>
        </row>
        <row r="89">
          <cell r="J89">
            <v>20.010000000000002</v>
          </cell>
          <cell r="K89" t="str">
            <v>25</v>
          </cell>
        </row>
        <row r="90">
          <cell r="J90">
            <v>25.01</v>
          </cell>
          <cell r="K90" t="str">
            <v>35</v>
          </cell>
        </row>
        <row r="91">
          <cell r="J91">
            <v>35.01</v>
          </cell>
          <cell r="K91" t="str">
            <v>40</v>
          </cell>
        </row>
        <row r="92">
          <cell r="J92">
            <v>40.01</v>
          </cell>
          <cell r="K92" t="str">
            <v>45</v>
          </cell>
        </row>
        <row r="93">
          <cell r="J93">
            <v>45.01</v>
          </cell>
          <cell r="K93" t="str">
            <v>50</v>
          </cell>
        </row>
        <row r="94">
          <cell r="J94">
            <v>50.01</v>
          </cell>
          <cell r="K94" t="str">
            <v>60</v>
          </cell>
        </row>
        <row r="95">
          <cell r="J95">
            <v>60.01</v>
          </cell>
          <cell r="K95" t="str">
            <v>80</v>
          </cell>
        </row>
        <row r="96">
          <cell r="J96">
            <v>80.010000000000005</v>
          </cell>
          <cell r="K96" t="str">
            <v>100</v>
          </cell>
        </row>
        <row r="97">
          <cell r="J97">
            <v>100.01</v>
          </cell>
          <cell r="K97" t="str">
            <v>125</v>
          </cell>
        </row>
        <row r="98">
          <cell r="J98">
            <v>125.01</v>
          </cell>
          <cell r="K98" t="str">
            <v>125</v>
          </cell>
        </row>
        <row r="193">
          <cell r="B193">
            <v>0</v>
          </cell>
          <cell r="C193">
            <v>1.5</v>
          </cell>
        </row>
        <row r="194">
          <cell r="B194">
            <v>1</v>
          </cell>
          <cell r="C194">
            <v>1.45</v>
          </cell>
        </row>
        <row r="195">
          <cell r="B195">
            <v>2</v>
          </cell>
          <cell r="C195">
            <v>1.42</v>
          </cell>
        </row>
        <row r="196">
          <cell r="B196">
            <v>3</v>
          </cell>
          <cell r="C196">
            <v>1.4</v>
          </cell>
        </row>
        <row r="197">
          <cell r="B197">
            <v>4</v>
          </cell>
          <cell r="C197">
            <v>1.37</v>
          </cell>
        </row>
        <row r="198">
          <cell r="B198">
            <v>5</v>
          </cell>
          <cell r="C198">
            <v>1.35</v>
          </cell>
        </row>
        <row r="199">
          <cell r="B199">
            <v>6</v>
          </cell>
          <cell r="C199">
            <v>1.33</v>
          </cell>
        </row>
        <row r="200">
          <cell r="B200">
            <v>7</v>
          </cell>
          <cell r="C200">
            <v>1.32</v>
          </cell>
        </row>
        <row r="201">
          <cell r="B201">
            <v>8</v>
          </cell>
          <cell r="C201">
            <v>1.3</v>
          </cell>
        </row>
        <row r="202">
          <cell r="B202">
            <v>9</v>
          </cell>
          <cell r="C202">
            <v>1.28</v>
          </cell>
        </row>
        <row r="203">
          <cell r="B203">
            <v>10</v>
          </cell>
          <cell r="C203">
            <v>1.27</v>
          </cell>
        </row>
        <row r="204">
          <cell r="B204">
            <v>11</v>
          </cell>
          <cell r="C204">
            <v>1.25</v>
          </cell>
        </row>
        <row r="205">
          <cell r="B205">
            <v>12</v>
          </cell>
          <cell r="C205">
            <v>1.24</v>
          </cell>
        </row>
        <row r="206">
          <cell r="B206">
            <v>13</v>
          </cell>
          <cell r="C206">
            <v>1.23</v>
          </cell>
        </row>
        <row r="207">
          <cell r="B207">
            <v>14</v>
          </cell>
          <cell r="C207">
            <v>1.22</v>
          </cell>
        </row>
        <row r="208">
          <cell r="B208">
            <v>15</v>
          </cell>
          <cell r="C208">
            <v>1.21</v>
          </cell>
        </row>
        <row r="209">
          <cell r="B209">
            <v>16</v>
          </cell>
          <cell r="C209">
            <v>1.2</v>
          </cell>
        </row>
        <row r="210">
          <cell r="B210">
            <v>17</v>
          </cell>
          <cell r="C210">
            <v>1.19</v>
          </cell>
        </row>
        <row r="211">
          <cell r="B211">
            <v>18</v>
          </cell>
          <cell r="C211">
            <v>1.18</v>
          </cell>
        </row>
        <row r="212">
          <cell r="B212">
            <v>19</v>
          </cell>
          <cell r="C212">
            <v>1.17</v>
          </cell>
        </row>
        <row r="213">
          <cell r="B213">
            <v>20</v>
          </cell>
          <cell r="C213">
            <v>1.17</v>
          </cell>
        </row>
        <row r="214">
          <cell r="B214">
            <v>21</v>
          </cell>
          <cell r="C214">
            <v>1.1599999999999999</v>
          </cell>
        </row>
        <row r="215">
          <cell r="B215">
            <v>22</v>
          </cell>
          <cell r="C215">
            <v>1.1499999999999999</v>
          </cell>
        </row>
        <row r="216">
          <cell r="B216">
            <v>23</v>
          </cell>
          <cell r="C216">
            <v>1.1399999999999999</v>
          </cell>
        </row>
        <row r="217">
          <cell r="B217">
            <v>24</v>
          </cell>
          <cell r="C217">
            <v>1.1299999999999999</v>
          </cell>
        </row>
        <row r="218">
          <cell r="B218">
            <v>25</v>
          </cell>
          <cell r="C218">
            <v>1.1200000000000001</v>
          </cell>
        </row>
        <row r="219">
          <cell r="B219">
            <v>26</v>
          </cell>
          <cell r="C219">
            <v>1.1100000000000001</v>
          </cell>
        </row>
        <row r="220">
          <cell r="B220">
            <v>27</v>
          </cell>
          <cell r="C220">
            <v>1.1000000000000001</v>
          </cell>
        </row>
        <row r="221">
          <cell r="B221">
            <v>28</v>
          </cell>
          <cell r="C221">
            <v>1.0900000000000001</v>
          </cell>
        </row>
        <row r="222">
          <cell r="B222">
            <v>29</v>
          </cell>
          <cell r="C222">
            <v>1.08</v>
          </cell>
        </row>
        <row r="223">
          <cell r="B223">
            <v>30</v>
          </cell>
          <cell r="C223">
            <v>1.07</v>
          </cell>
        </row>
        <row r="224">
          <cell r="B224">
            <v>31</v>
          </cell>
          <cell r="C224">
            <v>1.05</v>
          </cell>
        </row>
        <row r="225">
          <cell r="B225">
            <v>32</v>
          </cell>
          <cell r="C225">
            <v>1.03</v>
          </cell>
        </row>
        <row r="226">
          <cell r="B226">
            <v>33</v>
          </cell>
          <cell r="C226">
            <v>1</v>
          </cell>
        </row>
      </sheetData>
      <sheetData sheetId="1">
        <row r="8">
          <cell r="B8">
            <v>1381</v>
          </cell>
        </row>
        <row r="9">
          <cell r="B9">
            <v>4</v>
          </cell>
        </row>
        <row r="10">
          <cell r="B10">
            <v>150</v>
          </cell>
        </row>
        <row r="11">
          <cell r="B11">
            <v>1.2</v>
          </cell>
        </row>
        <row r="12">
          <cell r="B12">
            <v>1.5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ínculos (Não Mexer)"/>
      <sheetName val="Saldos Iniciais"/>
      <sheetName val="Planejamento"/>
      <sheetName val="Medições Diretas"/>
      <sheetName val="Boletim de Medição"/>
      <sheetName val="Comparativo Quantitativo"/>
      <sheetName val="Comparativo Preços"/>
      <sheetName val="Resumo por Serviço"/>
      <sheetName val="Resumo da Proposta"/>
      <sheetName val="Proposta"/>
      <sheetName val="Vínculos"/>
      <sheetName val="Resumo para Conferência"/>
      <sheetName val="Carta à C. E. F."/>
      <sheetName val="Canteiro"/>
    </sheetNames>
    <sheetDataSet>
      <sheetData sheetId="0">
        <row r="3">
          <cell r="E3">
            <v>50</v>
          </cell>
          <cell r="G3" t="str">
            <v/>
          </cell>
          <cell r="I3" t="str">
            <v/>
          </cell>
          <cell r="M3">
            <v>1</v>
          </cell>
          <cell r="P3">
            <v>1</v>
          </cell>
        </row>
        <row r="4">
          <cell r="B4">
            <v>50</v>
          </cell>
          <cell r="E4" t="str">
            <v/>
          </cell>
          <cell r="G4" t="str">
            <v/>
          </cell>
          <cell r="I4" t="str">
            <v/>
          </cell>
          <cell r="M4">
            <v>2</v>
          </cell>
          <cell r="P4" t="str">
            <v/>
          </cell>
        </row>
        <row r="5">
          <cell r="E5" t="str">
            <v/>
          </cell>
          <cell r="G5" t="str">
            <v/>
          </cell>
          <cell r="I5" t="str">
            <v/>
          </cell>
          <cell r="M5">
            <v>3</v>
          </cell>
          <cell r="P5" t="str">
            <v/>
          </cell>
        </row>
        <row r="6">
          <cell r="E6" t="str">
            <v/>
          </cell>
          <cell r="G6" t="str">
            <v/>
          </cell>
          <cell r="I6" t="str">
            <v/>
          </cell>
          <cell r="M6">
            <v>4</v>
          </cell>
          <cell r="P6" t="str">
            <v/>
          </cell>
        </row>
        <row r="7">
          <cell r="E7" t="str">
            <v/>
          </cell>
          <cell r="G7" t="str">
            <v/>
          </cell>
          <cell r="I7" t="str">
            <v/>
          </cell>
          <cell r="M7" t="str">
            <v/>
          </cell>
          <cell r="P7" t="str">
            <v/>
          </cell>
        </row>
        <row r="8">
          <cell r="E8" t="str">
            <v/>
          </cell>
          <cell r="G8" t="str">
            <v/>
          </cell>
          <cell r="I8" t="str">
            <v/>
          </cell>
          <cell r="M8">
            <v>6</v>
          </cell>
          <cell r="P8" t="str">
            <v/>
          </cell>
        </row>
        <row r="9">
          <cell r="E9" t="str">
            <v/>
          </cell>
          <cell r="G9" t="str">
            <v/>
          </cell>
          <cell r="I9" t="str">
            <v/>
          </cell>
          <cell r="M9" t="str">
            <v/>
          </cell>
          <cell r="P9" t="str">
            <v/>
          </cell>
        </row>
        <row r="10">
          <cell r="E10" t="str">
            <v/>
          </cell>
          <cell r="G10" t="str">
            <v/>
          </cell>
          <cell r="I10" t="str">
            <v/>
          </cell>
          <cell r="M10" t="str">
            <v/>
          </cell>
          <cell r="P10" t="str">
            <v/>
          </cell>
        </row>
        <row r="11">
          <cell r="E11" t="str">
            <v/>
          </cell>
          <cell r="G11" t="str">
            <v/>
          </cell>
          <cell r="I11" t="str">
            <v/>
          </cell>
          <cell r="M11" t="str">
            <v/>
          </cell>
          <cell r="P11" t="str">
            <v/>
          </cell>
        </row>
        <row r="12">
          <cell r="E12" t="str">
            <v/>
          </cell>
          <cell r="G12" t="str">
            <v/>
          </cell>
          <cell r="I12" t="str">
            <v/>
          </cell>
          <cell r="M12" t="str">
            <v/>
          </cell>
          <cell r="P12" t="str">
            <v/>
          </cell>
        </row>
        <row r="13">
          <cell r="E13" t="str">
            <v/>
          </cell>
          <cell r="G13" t="str">
            <v/>
          </cell>
          <cell r="I13" t="str">
            <v/>
          </cell>
          <cell r="M13" t="str">
            <v/>
          </cell>
          <cell r="P13" t="str">
            <v/>
          </cell>
        </row>
        <row r="14">
          <cell r="B14">
            <v>1</v>
          </cell>
          <cell r="C14" t="str">
            <v>BANCO</v>
          </cell>
          <cell r="E14" t="str">
            <v/>
          </cell>
          <cell r="G14" t="str">
            <v/>
          </cell>
          <cell r="I14" t="str">
            <v/>
          </cell>
          <cell r="M14" t="str">
            <v/>
          </cell>
          <cell r="P14" t="str">
            <v/>
          </cell>
        </row>
        <row r="15">
          <cell r="B15">
            <v>2</v>
          </cell>
          <cell r="C15" t="str">
            <v>SANEAGO</v>
          </cell>
          <cell r="E15" t="str">
            <v/>
          </cell>
          <cell r="G15" t="str">
            <v/>
          </cell>
          <cell r="I15" t="str">
            <v/>
          </cell>
          <cell r="M15" t="str">
            <v/>
          </cell>
          <cell r="P15" t="str">
            <v/>
          </cell>
        </row>
        <row r="16">
          <cell r="B16">
            <v>3</v>
          </cell>
          <cell r="C16" t="str">
            <v>PREFEITURA</v>
          </cell>
          <cell r="E16" t="str">
            <v/>
          </cell>
          <cell r="G16" t="str">
            <v/>
          </cell>
          <cell r="I16" t="str">
            <v/>
          </cell>
          <cell r="M16" t="str">
            <v/>
          </cell>
          <cell r="P16" t="str">
            <v/>
          </cell>
        </row>
        <row r="17">
          <cell r="B17" t="str">
            <v/>
          </cell>
          <cell r="C17" t="str">
            <v/>
          </cell>
          <cell r="E17" t="str">
            <v/>
          </cell>
          <cell r="G17" t="str">
            <v/>
          </cell>
          <cell r="I17" t="str">
            <v/>
          </cell>
          <cell r="M17" t="str">
            <v/>
          </cell>
          <cell r="P17" t="str">
            <v/>
          </cell>
        </row>
        <row r="18">
          <cell r="B18" t="str">
            <v/>
          </cell>
          <cell r="C18" t="str">
            <v/>
          </cell>
          <cell r="E18" t="str">
            <v/>
          </cell>
          <cell r="G18" t="str">
            <v/>
          </cell>
          <cell r="I18" t="str">
            <v/>
          </cell>
          <cell r="M18" t="str">
            <v/>
          </cell>
          <cell r="P18" t="str">
            <v/>
          </cell>
        </row>
        <row r="19">
          <cell r="B19" t="str">
            <v/>
          </cell>
          <cell r="C19" t="str">
            <v/>
          </cell>
          <cell r="E19" t="str">
            <v/>
          </cell>
          <cell r="G19" t="str">
            <v/>
          </cell>
          <cell r="I19" t="str">
            <v/>
          </cell>
          <cell r="M19" t="str">
            <v/>
          </cell>
          <cell r="P19" t="str">
            <v/>
          </cell>
        </row>
        <row r="23">
          <cell r="G23" t="str">
            <v/>
          </cell>
        </row>
        <row r="24">
          <cell r="B24">
            <v>1</v>
          </cell>
          <cell r="G24" t="str">
            <v>PLANEJAMENTO</v>
          </cell>
        </row>
        <row r="26">
          <cell r="G26">
            <v>40430</v>
          </cell>
        </row>
        <row r="36">
          <cell r="G36" t="str">
            <v>ANÁPOLIS, GO</v>
          </cell>
        </row>
        <row r="38">
          <cell r="G38" t="str">
            <v/>
          </cell>
        </row>
        <row r="39">
          <cell r="G39">
            <v>0</v>
          </cell>
        </row>
      </sheetData>
      <sheetData sheetId="1"/>
      <sheetData sheetId="2">
        <row r="8">
          <cell r="E8" t="str">
            <v>S</v>
          </cell>
        </row>
        <row r="9">
          <cell r="E9">
            <v>1.0854999999999999</v>
          </cell>
        </row>
        <row r="10">
          <cell r="E10">
            <v>1.1216999999999999</v>
          </cell>
        </row>
        <row r="11">
          <cell r="E11">
            <v>1.1146</v>
          </cell>
        </row>
        <row r="16">
          <cell r="E16" t="str">
            <v>N</v>
          </cell>
        </row>
        <row r="29">
          <cell r="E29">
            <v>900</v>
          </cell>
        </row>
        <row r="31">
          <cell r="E31">
            <v>3</v>
          </cell>
        </row>
        <row r="32">
          <cell r="E32">
            <v>4</v>
          </cell>
        </row>
        <row r="33">
          <cell r="E33">
            <v>22</v>
          </cell>
        </row>
        <row r="34">
          <cell r="E34">
            <v>0</v>
          </cell>
        </row>
        <row r="35">
          <cell r="E35">
            <v>0</v>
          </cell>
        </row>
      </sheetData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>
        <row r="16">
          <cell r="P16" t="str">
            <v>PRÓ-INFRA</v>
          </cell>
        </row>
        <row r="17">
          <cell r="P17" t="str">
            <v>Goiânia, GO</v>
          </cell>
        </row>
        <row r="18">
          <cell r="P18" t="str">
            <v>Infra-Estrutura Urbana</v>
          </cell>
        </row>
      </sheetData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ódigos"/>
      <sheetName val="Boletim de Medição"/>
    </sheetNames>
    <sheetDataSet>
      <sheetData sheetId="0"/>
      <sheetData sheetId="1">
        <row r="8">
          <cell r="B8" t="str">
            <v>CÓDIGO DO CONTRATANTE</v>
          </cell>
        </row>
        <row r="9">
          <cell r="B9" t="str">
            <v>DA MEDIÇÃO ATUAL</v>
          </cell>
        </row>
        <row r="10">
          <cell r="B10">
            <v>1</v>
          </cell>
        </row>
        <row r="11">
          <cell r="B11" t="str">
            <v>BANCO</v>
          </cell>
        </row>
        <row r="13">
          <cell r="B13" t="str">
            <v>CÓD.</v>
          </cell>
          <cell r="C13" t="str">
            <v>CONTRATANTES</v>
          </cell>
        </row>
        <row r="14">
          <cell r="B14">
            <v>1</v>
          </cell>
          <cell r="C14" t="str">
            <v>BANCO</v>
          </cell>
        </row>
        <row r="15">
          <cell r="B15">
            <v>2</v>
          </cell>
          <cell r="C15" t="str">
            <v>SANEAGO</v>
          </cell>
        </row>
        <row r="16">
          <cell r="B16">
            <v>3</v>
          </cell>
          <cell r="C16" t="str">
            <v>PREFEITURA</v>
          </cell>
        </row>
        <row r="22">
          <cell r="C22" t="str">
            <v>CONDIÇÕES</v>
          </cell>
        </row>
        <row r="23">
          <cell r="B23" t="str">
            <v>S</v>
          </cell>
          <cell r="C23" t="str">
            <v>PLANO DE TRAB. (S / N)</v>
          </cell>
        </row>
        <row r="24">
          <cell r="B24">
            <v>3</v>
          </cell>
          <cell r="C24" t="str">
            <v>RAMPA P. TRABALHO</v>
          </cell>
        </row>
        <row r="25">
          <cell r="B25">
            <v>6</v>
          </cell>
          <cell r="C25" t="str">
            <v>RAMPA MEDIÇÃO</v>
          </cell>
        </row>
        <row r="26">
          <cell r="B26">
            <v>0.4</v>
          </cell>
          <cell r="C26" t="str">
            <v>PROF. ADIC. P/ P. TRAB.</v>
          </cell>
        </row>
        <row r="27">
          <cell r="B27">
            <v>0</v>
          </cell>
          <cell r="C27" t="str">
            <v>PROF. ADIC. P/ MEDIÇÃO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e 01"/>
      <sheetName val="Lote 01 Rev 01"/>
      <sheetName val="Lote 02"/>
      <sheetName val="POÇOS DE VISITA"/>
      <sheetName val="REDE PRINCIPAL"/>
      <sheetName val="RAMAIS"/>
      <sheetName val="TABELA AUXILIAR"/>
      <sheetName val="Plan1"/>
    </sheetNames>
    <sheetDataSet>
      <sheetData sheetId="0">
        <row r="258">
          <cell r="J258">
            <v>9391891.5299999993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ENCARGOS"/>
      <sheetName val="BDI"/>
      <sheetName val="COLETA RESÍDUOS"/>
      <sheetName val="COMP. SALÁRIOS COL. RES."/>
      <sheetName val="COMP. CUSTOS EPI`S COL. RES."/>
      <sheetName val="CAMINHÃO ADEQUADO"/>
      <sheetName val="CARRO-VARRIÇÃO"/>
      <sheetName val="COMP. SALÁRIOS VARREÇÃO"/>
      <sheetName val="COMP. CUSTOS EPI`S VARREÇÃO"/>
      <sheetName val="CARRO FISCALIZAÇÃO"/>
      <sheetName val="COLETA ENTULHO"/>
      <sheetName val="COMP. SALÁRIOS COL. ENTULHO"/>
      <sheetName val="COMP. CUSTOS EPI`S COL. ENT."/>
      <sheetName val="CAMINHÃO "/>
      <sheetName val="PINTURA MEIO FIO"/>
      <sheetName val="COMP. SALÁRIOS PINT. MEIO FIO"/>
      <sheetName val="COMP. CUSTOS EPI`S PINT. MF"/>
      <sheetName val="EQUIP.MÁQUINAS"/>
      <sheetName val="ROÇAGEM"/>
      <sheetName val="COMP. SALÁRIOS ROÇAGEM"/>
      <sheetName val="COMP. CUSTOS EPI`S ROÇAGEM"/>
      <sheetName val="TRATOR ROÇAGEM"/>
      <sheetName val="ALUGUEL CAMINHÃO"/>
      <sheetName val="COMP. SALÁRIOS ALUGUEL CAMINHÃO"/>
      <sheetName val="COMP. CUSTOS EPI`S ALUGUEL "/>
      <sheetName val="ALUGU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5">
          <cell r="E35">
            <v>1175.48</v>
          </cell>
        </row>
      </sheetData>
      <sheetData sheetId="21">
        <row r="53">
          <cell r="E53">
            <v>778.19166666666672</v>
          </cell>
        </row>
      </sheetData>
      <sheetData sheetId="22">
        <row r="8">
          <cell r="E8">
            <v>110000</v>
          </cell>
        </row>
        <row r="83">
          <cell r="D83">
            <v>260</v>
          </cell>
        </row>
        <row r="84">
          <cell r="D84">
            <v>62.4</v>
          </cell>
        </row>
        <row r="85">
          <cell r="D85">
            <v>10.4</v>
          </cell>
        </row>
        <row r="86">
          <cell r="D86">
            <v>39</v>
          </cell>
        </row>
      </sheetData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5:N33"/>
  <sheetViews>
    <sheetView showGridLines="0" tabSelected="1" topLeftCell="J1" zoomScaleSheetLayoutView="70" workbookViewId="0">
      <selection activeCell="C14" sqref="C14"/>
    </sheetView>
  </sheetViews>
  <sheetFormatPr defaultColWidth="9.140625" defaultRowHeight="12.75" x14ac:dyDescent="0.2"/>
  <cols>
    <col min="1" max="1" width="10.140625" style="2" customWidth="1"/>
    <col min="2" max="2" width="40.28515625" style="2" customWidth="1"/>
    <col min="3" max="3" width="16.7109375" style="2" customWidth="1"/>
    <col min="4" max="4" width="12.28515625" style="2" customWidth="1"/>
    <col min="5" max="5" width="14" style="3" customWidth="1"/>
    <col min="6" max="6" width="16.7109375" style="3" customWidth="1"/>
    <col min="7" max="7" width="7.7109375" style="2" customWidth="1"/>
    <col min="8" max="8" width="7.140625" style="2" customWidth="1"/>
    <col min="9" max="9" width="14.28515625" style="136" bestFit="1" customWidth="1"/>
    <col min="10" max="10" width="9.42578125" style="136" bestFit="1" customWidth="1"/>
    <col min="11" max="11" width="9.140625" style="2"/>
    <col min="12" max="12" width="11.28515625" style="2" bestFit="1" customWidth="1"/>
    <col min="13" max="13" width="9.140625" style="2"/>
    <col min="14" max="14" width="18.28515625" style="2" customWidth="1"/>
    <col min="15" max="16384" width="9.140625" style="2"/>
  </cols>
  <sheetData>
    <row r="5" spans="1:14" ht="80.45" customHeight="1" x14ac:dyDescent="0.2"/>
    <row r="6" spans="1:14" ht="16.5" customHeight="1" x14ac:dyDescent="0.2">
      <c r="A6" s="214" t="s">
        <v>422</v>
      </c>
    </row>
    <row r="7" spans="1:14" ht="21" customHeight="1" x14ac:dyDescent="0.2">
      <c r="A7" s="214" t="s">
        <v>113</v>
      </c>
    </row>
    <row r="8" spans="1:14" ht="16.5" customHeight="1" thickBot="1" x14ac:dyDescent="0.25"/>
    <row r="9" spans="1:14" s="62" customFormat="1" ht="37.5" customHeight="1" thickBot="1" x14ac:dyDescent="0.25">
      <c r="A9" s="551" t="s">
        <v>100</v>
      </c>
      <c r="B9" s="552"/>
      <c r="C9" s="552"/>
      <c r="D9" s="552"/>
      <c r="E9" s="552"/>
      <c r="F9" s="553"/>
      <c r="I9" s="135"/>
      <c r="J9" s="135"/>
    </row>
    <row r="10" spans="1:14" s="62" customFormat="1" ht="20.100000000000001" customHeight="1" x14ac:dyDescent="0.2">
      <c r="A10" s="63"/>
      <c r="B10" s="64"/>
      <c r="C10" s="68"/>
      <c r="D10" s="68"/>
      <c r="E10" s="69"/>
      <c r="F10" s="69"/>
      <c r="I10" s="135"/>
      <c r="J10" s="135"/>
    </row>
    <row r="11" spans="1:14" s="62" customFormat="1" ht="15" customHeight="1" thickBot="1" x14ac:dyDescent="0.25">
      <c r="A11" s="70"/>
      <c r="B11" s="71"/>
      <c r="C11" s="71"/>
      <c r="D11" s="72"/>
      <c r="E11" s="73"/>
      <c r="F11" s="73"/>
      <c r="I11" s="135"/>
      <c r="J11" s="135"/>
    </row>
    <row r="12" spans="1:14" s="65" customFormat="1" ht="15" customHeight="1" x14ac:dyDescent="0.2">
      <c r="A12" s="554" t="s">
        <v>2</v>
      </c>
      <c r="B12" s="549" t="s">
        <v>3</v>
      </c>
      <c r="C12" s="549" t="s">
        <v>4</v>
      </c>
      <c r="D12" s="549" t="s">
        <v>11</v>
      </c>
      <c r="E12" s="556" t="s">
        <v>91</v>
      </c>
      <c r="F12" s="558" t="s">
        <v>263</v>
      </c>
      <c r="I12" s="441"/>
      <c r="J12" s="441"/>
    </row>
    <row r="13" spans="1:14" s="65" customFormat="1" ht="33" customHeight="1" x14ac:dyDescent="0.2">
      <c r="A13" s="555"/>
      <c r="B13" s="550"/>
      <c r="C13" s="550"/>
      <c r="D13" s="550"/>
      <c r="E13" s="557"/>
      <c r="F13" s="559"/>
      <c r="H13" s="429"/>
      <c r="I13" s="441"/>
      <c r="J13" s="441"/>
      <c r="L13" s="65" t="s">
        <v>437</v>
      </c>
    </row>
    <row r="14" spans="1:14" s="66" customFormat="1" ht="91.9" customHeight="1" x14ac:dyDescent="0.2">
      <c r="A14" s="216">
        <v>1</v>
      </c>
      <c r="B14" s="217" t="s">
        <v>268</v>
      </c>
      <c r="C14" s="274" t="s">
        <v>267</v>
      </c>
      <c r="D14" s="219">
        <v>1</v>
      </c>
      <c r="E14" s="220">
        <f>COLETA!F154</f>
        <v>19800.727190435784</v>
      </c>
      <c r="F14" s="221">
        <f>D14*E14</f>
        <v>19800.727190435784</v>
      </c>
      <c r="H14" s="316"/>
      <c r="I14" s="316">
        <f>COLETA!N56+'CANTEIRO ADM LOCAL'!L20</f>
        <v>5</v>
      </c>
      <c r="J14" s="316"/>
      <c r="L14" s="316">
        <v>41397.145513769123</v>
      </c>
      <c r="N14" s="542">
        <f>L14-F14</f>
        <v>21596.418323333339</v>
      </c>
    </row>
    <row r="15" spans="1:14" s="66" customFormat="1" ht="55.9" customHeight="1" x14ac:dyDescent="0.2">
      <c r="A15" s="216" t="s">
        <v>101</v>
      </c>
      <c r="B15" s="217" t="s">
        <v>412</v>
      </c>
      <c r="C15" s="218" t="s">
        <v>264</v>
      </c>
      <c r="D15" s="219">
        <f>VARRIÇÃO!G104</f>
        <v>644.2715199999999</v>
      </c>
      <c r="E15" s="220">
        <f>VARRIÇÃO!G105</f>
        <v>99.168710892161343</v>
      </c>
      <c r="F15" s="221">
        <f>D15*E15</f>
        <v>63891.576102933337</v>
      </c>
      <c r="H15" s="316"/>
      <c r="I15" s="316">
        <f>VARRIÇÃO!L39</f>
        <v>14</v>
      </c>
      <c r="J15" s="316"/>
      <c r="L15" s="316">
        <v>63891.576102933337</v>
      </c>
    </row>
    <row r="16" spans="1:14" s="66" customFormat="1" ht="55.9" customHeight="1" x14ac:dyDescent="0.2">
      <c r="A16" s="216" t="s">
        <v>409</v>
      </c>
      <c r="B16" s="217" t="s">
        <v>411</v>
      </c>
      <c r="C16" s="218" t="s">
        <v>410</v>
      </c>
      <c r="D16" s="219">
        <v>1</v>
      </c>
      <c r="E16" s="220">
        <f>SERVIÇOS!J100</f>
        <v>66828.859184944842</v>
      </c>
      <c r="F16" s="221">
        <f>D16*E16</f>
        <v>66828.859184944842</v>
      </c>
      <c r="H16" s="316"/>
      <c r="I16" s="316">
        <f>SERVIÇOS!B29</f>
        <v>19</v>
      </c>
      <c r="J16" s="316"/>
      <c r="L16" s="316">
        <v>66828.859184944842</v>
      </c>
    </row>
    <row r="17" spans="1:14" s="66" customFormat="1" ht="55.9" customHeight="1" x14ac:dyDescent="0.2">
      <c r="A17" s="512"/>
      <c r="B17" s="513"/>
      <c r="C17" s="514"/>
      <c r="D17" s="515"/>
      <c r="E17" s="516"/>
      <c r="F17" s="517"/>
      <c r="H17" s="316"/>
      <c r="I17" s="316">
        <f>SUM(I14:I16)</f>
        <v>38</v>
      </c>
      <c r="J17" s="316"/>
      <c r="K17" s="542"/>
      <c r="L17" s="316"/>
    </row>
    <row r="18" spans="1:14" s="67" customFormat="1" ht="38.25" customHeight="1" thickBot="1" x14ac:dyDescent="0.25">
      <c r="A18" s="546" t="s">
        <v>0</v>
      </c>
      <c r="B18" s="547"/>
      <c r="C18" s="547"/>
      <c r="D18" s="547"/>
      <c r="E18" s="548"/>
      <c r="F18" s="434">
        <f>F14+F16+F17+F15</f>
        <v>150521.16247831396</v>
      </c>
      <c r="H18" s="137"/>
      <c r="I18" s="137"/>
      <c r="J18" s="316"/>
      <c r="L18" s="293">
        <v>172117.5808016473</v>
      </c>
      <c r="N18" s="545">
        <f>L18-F18</f>
        <v>21596.418323333346</v>
      </c>
    </row>
    <row r="19" spans="1:14" s="67" customFormat="1" ht="15" x14ac:dyDescent="0.2">
      <c r="A19" s="222"/>
      <c r="B19" s="222"/>
      <c r="C19" s="222"/>
      <c r="D19" s="222"/>
      <c r="E19" s="223"/>
      <c r="F19" s="223"/>
      <c r="H19" s="137"/>
      <c r="I19" s="137"/>
      <c r="J19" s="293"/>
    </row>
    <row r="20" spans="1:14" ht="15.75" x14ac:dyDescent="0.2">
      <c r="H20" s="137"/>
      <c r="I20" s="138"/>
    </row>
    <row r="21" spans="1:14" ht="15.75" x14ac:dyDescent="0.2">
      <c r="H21" s="137"/>
      <c r="I21" s="138"/>
    </row>
    <row r="22" spans="1:14" ht="15" x14ac:dyDescent="0.2">
      <c r="A22" s="215" t="s">
        <v>436</v>
      </c>
      <c r="H22" s="137"/>
    </row>
    <row r="23" spans="1:14" ht="15" x14ac:dyDescent="0.2">
      <c r="A23" s="215"/>
      <c r="H23" s="137"/>
    </row>
    <row r="24" spans="1:14" ht="15" x14ac:dyDescent="0.2">
      <c r="A24" s="215"/>
      <c r="H24" s="137"/>
    </row>
    <row r="25" spans="1:14" ht="15" x14ac:dyDescent="0.2">
      <c r="A25" s="215"/>
      <c r="H25" s="137"/>
    </row>
    <row r="26" spans="1:14" ht="15" x14ac:dyDescent="0.2">
      <c r="H26" s="137"/>
    </row>
    <row r="27" spans="1:14" ht="15" x14ac:dyDescent="0.2">
      <c r="H27" s="137"/>
    </row>
    <row r="28" spans="1:14" ht="15" x14ac:dyDescent="0.25">
      <c r="D28" s="474"/>
      <c r="H28" s="137"/>
    </row>
    <row r="29" spans="1:14" ht="15" x14ac:dyDescent="0.25">
      <c r="D29" s="474"/>
      <c r="H29" s="137"/>
    </row>
    <row r="30" spans="1:14" ht="15" x14ac:dyDescent="0.2">
      <c r="H30" s="137"/>
    </row>
    <row r="31" spans="1:14" ht="15" x14ac:dyDescent="0.2">
      <c r="H31" s="137"/>
    </row>
    <row r="32" spans="1:14" ht="15" x14ac:dyDescent="0.2">
      <c r="H32" s="137"/>
    </row>
    <row r="33" spans="8:8" x14ac:dyDescent="0.2">
      <c r="H33" s="136"/>
    </row>
  </sheetData>
  <mergeCells count="8">
    <mergeCell ref="A18:E18"/>
    <mergeCell ref="B12:B13"/>
    <mergeCell ref="C12:C13"/>
    <mergeCell ref="A9:F9"/>
    <mergeCell ref="A12:A13"/>
    <mergeCell ref="D12:D13"/>
    <mergeCell ref="E12:E13"/>
    <mergeCell ref="F12:F13"/>
  </mergeCells>
  <printOptions horizontalCentered="1"/>
  <pageMargins left="0.70866141732283472" right="0.51181102362204722" top="1.299212598425197" bottom="0.15748031496062992" header="0.51181102362204722" footer="0"/>
  <pageSetup paperSize="9" scale="8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B8:V380"/>
  <sheetViews>
    <sheetView topLeftCell="A144" zoomScale="80" zoomScaleNormal="80" zoomScaleSheetLayoutView="70" workbookViewId="0">
      <selection activeCell="B41" sqref="B41"/>
    </sheetView>
  </sheetViews>
  <sheetFormatPr defaultColWidth="8.85546875" defaultRowHeight="12.75" x14ac:dyDescent="0.2"/>
  <cols>
    <col min="1" max="1" width="8.85546875" style="5"/>
    <col min="2" max="2" width="36.140625" style="5" customWidth="1"/>
    <col min="3" max="3" width="14.7109375" style="5" customWidth="1"/>
    <col min="4" max="4" width="13.42578125" style="5" customWidth="1"/>
    <col min="5" max="5" width="14" style="5" customWidth="1"/>
    <col min="6" max="6" width="16" style="5" customWidth="1"/>
    <col min="7" max="7" width="14.140625" style="5" customWidth="1"/>
    <col min="8" max="8" width="13.42578125" style="5" customWidth="1"/>
    <col min="9" max="9" width="21.42578125" style="5" customWidth="1"/>
    <col min="10" max="10" width="14.7109375" style="5" hidden="1" customWidth="1"/>
    <col min="11" max="11" width="11.85546875" style="5" customWidth="1"/>
    <col min="12" max="12" width="10.7109375" style="5" bestFit="1" customWidth="1"/>
    <col min="13" max="13" width="11" style="5" customWidth="1"/>
    <col min="14" max="14" width="7.7109375" style="5" customWidth="1"/>
    <col min="15" max="15" width="10.28515625" style="5" bestFit="1" customWidth="1"/>
    <col min="16" max="16" width="32" style="5" customWidth="1"/>
    <col min="17" max="17" width="16.42578125" style="5" bestFit="1" customWidth="1"/>
    <col min="18" max="18" width="8.85546875" style="5"/>
    <col min="19" max="19" width="10.28515625" style="5" bestFit="1" customWidth="1"/>
    <col min="20" max="20" width="11.7109375" style="5" customWidth="1"/>
    <col min="21" max="21" width="8.85546875" style="5"/>
    <col min="22" max="22" width="9.42578125" style="5" bestFit="1" customWidth="1"/>
    <col min="23" max="16384" width="8.85546875" style="5"/>
  </cols>
  <sheetData>
    <row r="8" spans="2:15" ht="27.6" customHeight="1" thickBot="1" x14ac:dyDescent="0.25"/>
    <row r="9" spans="2:15" ht="12.75" customHeight="1" x14ac:dyDescent="0.2">
      <c r="B9" s="560" t="s">
        <v>7</v>
      </c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2"/>
    </row>
    <row r="10" spans="2:15" ht="16.5" customHeight="1" thickBot="1" x14ac:dyDescent="0.25">
      <c r="B10" s="563"/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5"/>
    </row>
    <row r="11" spans="2:15" ht="20.25" customHeight="1" x14ac:dyDescent="0.2">
      <c r="B11" s="566" t="s">
        <v>266</v>
      </c>
      <c r="C11" s="567"/>
      <c r="D11" s="567"/>
      <c r="E11" s="567"/>
      <c r="F11" s="567"/>
      <c r="G11" s="567"/>
      <c r="H11" s="567"/>
      <c r="I11" s="567"/>
      <c r="J11" s="567"/>
      <c r="K11" s="567"/>
      <c r="L11" s="567"/>
      <c r="M11" s="567"/>
      <c r="N11" s="567"/>
      <c r="O11" s="568"/>
    </row>
    <row r="12" spans="2:15" ht="20.25" customHeight="1" thickBot="1" x14ac:dyDescent="0.25">
      <c r="B12" s="455"/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7"/>
    </row>
    <row r="13" spans="2:15" ht="20.25" customHeight="1" thickBot="1" x14ac:dyDescent="0.25">
      <c r="B13" s="131" t="s">
        <v>313</v>
      </c>
      <c r="C13" s="575" t="s">
        <v>318</v>
      </c>
      <c r="D13" s="572"/>
      <c r="E13" s="572"/>
      <c r="F13" s="572"/>
      <c r="G13" s="572"/>
      <c r="H13" s="572"/>
      <c r="I13" s="572"/>
      <c r="J13" s="572"/>
      <c r="K13" s="572"/>
      <c r="L13" s="572"/>
      <c r="M13" s="572"/>
      <c r="N13" s="572"/>
      <c r="O13" s="573"/>
    </row>
    <row r="14" spans="2:15" ht="18.75" customHeight="1" thickBot="1" x14ac:dyDescent="0.25">
      <c r="B14" s="131" t="s">
        <v>6</v>
      </c>
      <c r="C14" s="574" t="s">
        <v>423</v>
      </c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3"/>
    </row>
    <row r="15" spans="2:15" ht="16.5" hidden="1" customHeight="1" thickBot="1" x14ac:dyDescent="0.25">
      <c r="B15" s="356" t="s">
        <v>8</v>
      </c>
      <c r="C15" s="571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3"/>
    </row>
    <row r="16" spans="2:15" s="357" customFormat="1" ht="12.75" customHeight="1" x14ac:dyDescent="0.2">
      <c r="B16" s="358"/>
      <c r="C16" s="358"/>
      <c r="D16" s="358"/>
      <c r="E16" s="358"/>
      <c r="F16" s="358"/>
      <c r="G16" s="358"/>
      <c r="H16" s="358"/>
      <c r="I16" s="358"/>
      <c r="J16" s="358"/>
    </row>
    <row r="17" spans="2:15" s="357" customFormat="1" ht="12.75" customHeight="1" x14ac:dyDescent="0.2">
      <c r="B17" s="358"/>
      <c r="C17" s="358"/>
      <c r="D17" s="358"/>
      <c r="E17" s="358"/>
      <c r="F17" s="358"/>
      <c r="G17" s="358"/>
      <c r="H17" s="358"/>
      <c r="I17" s="358"/>
      <c r="J17" s="358"/>
    </row>
    <row r="18" spans="2:15" ht="20.100000000000001" customHeight="1" x14ac:dyDescent="0.25">
      <c r="B18" s="197" t="s">
        <v>72</v>
      </c>
      <c r="C18" s="198"/>
      <c r="D18" s="199"/>
      <c r="E18" s="199"/>
      <c r="F18" s="199"/>
      <c r="G18" s="199"/>
      <c r="H18" s="199"/>
      <c r="I18" s="199"/>
      <c r="J18" s="199"/>
    </row>
    <row r="19" spans="2:15" ht="13.5" thickBot="1" x14ac:dyDescent="0.25"/>
    <row r="20" spans="2:15" s="1" customFormat="1" ht="13.5" thickBot="1" x14ac:dyDescent="0.25">
      <c r="B20" s="576" t="s">
        <v>16</v>
      </c>
      <c r="C20" s="577"/>
      <c r="D20" s="577"/>
      <c r="E20" s="577"/>
      <c r="F20" s="577"/>
      <c r="G20" s="578"/>
    </row>
    <row r="21" spans="2:15" ht="15" hidden="1" customHeight="1" thickBot="1" x14ac:dyDescent="0.25">
      <c r="B21" s="579" t="s">
        <v>194</v>
      </c>
      <c r="C21" s="580"/>
      <c r="D21" s="580"/>
      <c r="E21" s="581"/>
      <c r="F21" s="132"/>
      <c r="G21" s="141" t="s">
        <v>17</v>
      </c>
    </row>
    <row r="22" spans="2:15" ht="15" customHeight="1" thickBot="1" x14ac:dyDescent="0.25">
      <c r="B22" s="579" t="s">
        <v>290</v>
      </c>
      <c r="C22" s="580"/>
      <c r="D22" s="580"/>
      <c r="E22" s="581"/>
      <c r="F22" s="133">
        <v>3733</v>
      </c>
      <c r="G22" s="142" t="s">
        <v>17</v>
      </c>
    </row>
    <row r="23" spans="2:15" ht="24" customHeight="1" x14ac:dyDescent="0.2">
      <c r="B23" s="582" t="s">
        <v>207</v>
      </c>
      <c r="C23" s="582"/>
      <c r="D23" s="582"/>
      <c r="E23" s="582"/>
      <c r="F23" s="582"/>
      <c r="G23" s="582"/>
      <c r="H23" s="47"/>
    </row>
    <row r="24" spans="2:15" ht="24" customHeight="1" x14ac:dyDescent="0.2">
      <c r="B24" s="47"/>
      <c r="C24" s="47"/>
      <c r="D24" s="47"/>
      <c r="E24" s="47"/>
      <c r="F24" s="47"/>
      <c r="G24" s="47"/>
      <c r="H24" s="47"/>
    </row>
    <row r="25" spans="2:15" ht="24" customHeight="1" x14ac:dyDescent="0.2">
      <c r="B25" s="47"/>
    </row>
    <row r="26" spans="2:15" ht="24" customHeight="1" x14ac:dyDescent="0.2">
      <c r="B26" s="47"/>
    </row>
    <row r="27" spans="2:15" ht="24" customHeight="1" x14ac:dyDescent="0.2">
      <c r="B27" s="47"/>
    </row>
    <row r="28" spans="2:15" ht="24" customHeight="1" x14ac:dyDescent="0.2">
      <c r="B28" s="47"/>
    </row>
    <row r="29" spans="2:15" ht="24" customHeight="1" x14ac:dyDescent="0.2">
      <c r="B29" s="47"/>
    </row>
    <row r="30" spans="2:15" ht="24" customHeight="1" x14ac:dyDescent="0.2">
      <c r="B30" s="47"/>
    </row>
    <row r="31" spans="2:15" ht="39" customHeight="1" thickBot="1" x14ac:dyDescent="0.25">
      <c r="B31" s="591" t="s">
        <v>212</v>
      </c>
      <c r="C31" s="591"/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</row>
    <row r="32" spans="2:15" ht="63.6" customHeight="1" x14ac:dyDescent="0.2">
      <c r="B32" s="275" t="s">
        <v>10</v>
      </c>
      <c r="C32" s="276" t="s">
        <v>208</v>
      </c>
      <c r="D32" s="276" t="s">
        <v>209</v>
      </c>
      <c r="E32" s="276" t="s">
        <v>210</v>
      </c>
      <c r="F32" s="276" t="s">
        <v>93</v>
      </c>
      <c r="G32" s="277" t="s">
        <v>211</v>
      </c>
    </row>
    <row r="33" spans="2:15" ht="21" customHeight="1" thickBot="1" x14ac:dyDescent="0.25">
      <c r="B33" s="278" t="s">
        <v>92</v>
      </c>
      <c r="C33" s="279">
        <v>0.46</v>
      </c>
      <c r="D33" s="318">
        <f>F22</f>
        <v>3733</v>
      </c>
      <c r="E33" s="318">
        <f>C33*D33</f>
        <v>1717.18</v>
      </c>
      <c r="F33" s="280">
        <v>30</v>
      </c>
      <c r="G33" s="319">
        <f>E33*F33/1000</f>
        <v>51.5154</v>
      </c>
      <c r="H33" s="5" t="s">
        <v>215</v>
      </c>
      <c r="J33" s="359"/>
    </row>
    <row r="34" spans="2:15" ht="27.6" customHeight="1" thickBot="1" x14ac:dyDescent="0.25">
      <c r="B34" s="616" t="s">
        <v>293</v>
      </c>
      <c r="C34" s="616"/>
      <c r="D34" s="616"/>
      <c r="E34" s="616"/>
      <c r="F34" s="616"/>
      <c r="G34" s="616"/>
      <c r="H34" s="616"/>
      <c r="I34" s="616"/>
      <c r="J34" s="616"/>
    </row>
    <row r="35" spans="2:15" ht="30.6" customHeight="1" thickBot="1" x14ac:dyDescent="0.25">
      <c r="B35" s="586" t="s">
        <v>216</v>
      </c>
      <c r="C35" s="587"/>
      <c r="D35" s="587"/>
      <c r="E35" s="588"/>
      <c r="F35" s="326" t="s">
        <v>4</v>
      </c>
      <c r="G35" s="326" t="s">
        <v>13</v>
      </c>
    </row>
    <row r="36" spans="2:15" ht="31.15" customHeight="1" thickBot="1" x14ac:dyDescent="0.25">
      <c r="B36" s="583" t="s">
        <v>438</v>
      </c>
      <c r="C36" s="584"/>
      <c r="D36" s="584"/>
      <c r="E36" s="585"/>
      <c r="F36" s="320" t="s">
        <v>201</v>
      </c>
      <c r="G36" s="281">
        <v>1</v>
      </c>
      <c r="H36" s="5" t="s">
        <v>218</v>
      </c>
    </row>
    <row r="37" spans="2:15" ht="52.9" customHeight="1" thickBot="1" x14ac:dyDescent="0.25">
      <c r="B37" s="175" t="s">
        <v>214</v>
      </c>
      <c r="C37" s="321"/>
      <c r="D37" s="321"/>
      <c r="E37" s="321"/>
      <c r="F37" s="321"/>
      <c r="G37" s="321"/>
      <c r="H37" s="321"/>
      <c r="I37" s="321"/>
      <c r="J37" s="321"/>
    </row>
    <row r="38" spans="2:15" ht="34.5" customHeight="1" x14ac:dyDescent="0.2">
      <c r="B38" s="569" t="s">
        <v>1</v>
      </c>
      <c r="C38" s="589" t="s">
        <v>14</v>
      </c>
      <c r="D38" s="589" t="s">
        <v>0</v>
      </c>
      <c r="E38" s="589" t="s">
        <v>10</v>
      </c>
    </row>
    <row r="39" spans="2:15" ht="13.5" thickBot="1" x14ac:dyDescent="0.25">
      <c r="B39" s="570"/>
      <c r="C39" s="590"/>
      <c r="D39" s="590"/>
      <c r="E39" s="590"/>
    </row>
    <row r="40" spans="2:15" ht="46.5" customHeight="1" thickBot="1" x14ac:dyDescent="0.25">
      <c r="B40" s="282" t="s">
        <v>439</v>
      </c>
      <c r="C40" s="283">
        <v>1</v>
      </c>
      <c r="D40" s="284">
        <v>1</v>
      </c>
      <c r="E40" s="285" t="s">
        <v>213</v>
      </c>
    </row>
    <row r="41" spans="2:15" ht="30.75" customHeight="1" thickBot="1" x14ac:dyDescent="0.25">
      <c r="B41" s="322"/>
      <c r="C41" s="323"/>
      <c r="D41" s="324"/>
      <c r="E41" s="325"/>
    </row>
    <row r="42" spans="2:15" ht="30.75" customHeight="1" thickBot="1" x14ac:dyDescent="0.25">
      <c r="B42" s="586" t="s">
        <v>223</v>
      </c>
      <c r="C42" s="587"/>
      <c r="D42" s="587"/>
      <c r="E42" s="588"/>
      <c r="F42" s="326" t="s">
        <v>4</v>
      </c>
      <c r="G42" s="326" t="s">
        <v>13</v>
      </c>
    </row>
    <row r="43" spans="2:15" ht="30.75" customHeight="1" thickBot="1" x14ac:dyDescent="0.25">
      <c r="B43" s="583" t="s">
        <v>220</v>
      </c>
      <c r="C43" s="584"/>
      <c r="D43" s="584"/>
      <c r="E43" s="585"/>
      <c r="F43" s="320" t="s">
        <v>221</v>
      </c>
      <c r="G43" s="281">
        <v>1</v>
      </c>
      <c r="H43" s="5" t="s">
        <v>222</v>
      </c>
    </row>
    <row r="44" spans="2:15" ht="30.75" customHeight="1" thickBot="1" x14ac:dyDescent="0.25">
      <c r="B44" s="583" t="s">
        <v>219</v>
      </c>
      <c r="C44" s="584"/>
      <c r="D44" s="584"/>
      <c r="E44" s="585"/>
      <c r="F44" s="320" t="s">
        <v>227</v>
      </c>
      <c r="G44" s="281">
        <v>2</v>
      </c>
      <c r="H44" s="5" t="s">
        <v>217</v>
      </c>
    </row>
    <row r="45" spans="2:15" ht="30.75" hidden="1" customHeight="1" thickBot="1" x14ac:dyDescent="0.25">
      <c r="B45" s="583" t="s">
        <v>224</v>
      </c>
      <c r="C45" s="584"/>
      <c r="D45" s="584"/>
      <c r="E45" s="585"/>
      <c r="F45" s="320" t="s">
        <v>225</v>
      </c>
      <c r="G45" s="281">
        <v>1</v>
      </c>
      <c r="H45" s="5" t="s">
        <v>226</v>
      </c>
    </row>
    <row r="46" spans="2:15" ht="31.5" customHeight="1" thickBot="1" x14ac:dyDescent="0.25">
      <c r="B46" s="9"/>
      <c r="C46" s="10"/>
      <c r="D46" s="11"/>
      <c r="E46" s="11"/>
      <c r="F46" s="11"/>
      <c r="G46" s="12"/>
      <c r="H46" s="13"/>
      <c r="I46" s="14"/>
    </row>
    <row r="47" spans="2:15" ht="18.75" thickBot="1" x14ac:dyDescent="0.3">
      <c r="B47" s="601" t="s">
        <v>71</v>
      </c>
      <c r="C47" s="602"/>
      <c r="D47" s="602"/>
      <c r="E47" s="602"/>
      <c r="F47" s="602"/>
      <c r="G47" s="602"/>
      <c r="H47" s="602"/>
      <c r="I47" s="602"/>
      <c r="J47" s="602"/>
      <c r="K47" s="602"/>
      <c r="L47" s="602"/>
      <c r="M47" s="602"/>
      <c r="N47" s="602"/>
      <c r="O47" s="603"/>
    </row>
    <row r="48" spans="2:15" ht="32.25" customHeight="1" thickBot="1" x14ac:dyDescent="0.25"/>
    <row r="49" spans="2:17" ht="21.75" customHeight="1" thickBot="1" x14ac:dyDescent="0.3">
      <c r="B49" s="604" t="str">
        <f>VARRIÇÃO!B34</f>
        <v>Conforme manual TCM e Convenção Coletiva de Trabalho 2021/2023</v>
      </c>
      <c r="C49" s="605"/>
      <c r="D49" s="605"/>
      <c r="E49" s="605"/>
      <c r="F49" s="605"/>
      <c r="G49" s="605"/>
      <c r="H49" s="605"/>
      <c r="I49" s="605"/>
      <c r="J49" s="605"/>
      <c r="K49" s="605"/>
      <c r="L49" s="605"/>
      <c r="M49" s="605"/>
      <c r="N49" s="605"/>
      <c r="O49" s="606"/>
    </row>
    <row r="50" spans="2:17" ht="15.75" thickBot="1" x14ac:dyDescent="0.3">
      <c r="B50" s="442" t="s">
        <v>18</v>
      </c>
      <c r="C50" s="443"/>
      <c r="D50" s="443"/>
      <c r="E50" s="443"/>
      <c r="F50" s="443"/>
      <c r="G50" s="443"/>
      <c r="H50" s="443"/>
      <c r="I50" s="443"/>
      <c r="J50" s="479"/>
      <c r="K50" s="479"/>
      <c r="L50" s="443"/>
      <c r="M50" s="443"/>
      <c r="N50" s="443"/>
      <c r="O50" s="509"/>
    </row>
    <row r="51" spans="2:17" s="47" customFormat="1" ht="75.599999999999994" customHeight="1" x14ac:dyDescent="0.25">
      <c r="B51" s="363" t="s">
        <v>19</v>
      </c>
      <c r="C51" s="364" t="s">
        <v>228</v>
      </c>
      <c r="D51" s="364" t="s">
        <v>291</v>
      </c>
      <c r="E51" s="364" t="s">
        <v>229</v>
      </c>
      <c r="F51" s="364" t="s">
        <v>21</v>
      </c>
      <c r="G51" s="365" t="s">
        <v>0</v>
      </c>
      <c r="H51" s="366" t="s">
        <v>312</v>
      </c>
      <c r="I51" s="365" t="s">
        <v>22</v>
      </c>
      <c r="J51" s="367" t="s">
        <v>42</v>
      </c>
      <c r="K51" s="367" t="s">
        <v>273</v>
      </c>
      <c r="L51" s="364" t="s">
        <v>24</v>
      </c>
      <c r="M51" s="368" t="s">
        <v>25</v>
      </c>
      <c r="N51" s="364" t="s">
        <v>15</v>
      </c>
      <c r="O51" s="510" t="s">
        <v>26</v>
      </c>
      <c r="P51" s="506">
        <v>2020</v>
      </c>
      <c r="Q51" s="504">
        <v>7.1145E-2</v>
      </c>
    </row>
    <row r="52" spans="2:17" ht="18" customHeight="1" x14ac:dyDescent="0.25">
      <c r="B52" s="369" t="s">
        <v>270</v>
      </c>
      <c r="C52" s="370">
        <v>0.4</v>
      </c>
      <c r="D52" s="459">
        <f>Q52</f>
        <v>1590.99</v>
      </c>
      <c r="E52" s="371">
        <f>C52*D52</f>
        <v>636.39600000000007</v>
      </c>
      <c r="F52" s="34">
        <v>0</v>
      </c>
      <c r="G52" s="372">
        <f>ROUND(SUM(D52:F52),2)</f>
        <v>2227.39</v>
      </c>
      <c r="H52" s="33">
        <f>ROUND(G52*75.89%,2)</f>
        <v>1690.37</v>
      </c>
      <c r="I52" s="372">
        <f>ROUND(G52+H52,2)</f>
        <v>3917.76</v>
      </c>
      <c r="J52" s="33"/>
      <c r="K52" s="33">
        <f>VARRIÇÃO!I36</f>
        <v>339.28005119999995</v>
      </c>
      <c r="L52" s="257">
        <v>2.54</v>
      </c>
      <c r="M52" s="372">
        <f>ROUND(SUM(I52:L52),2)</f>
        <v>4259.58</v>
      </c>
      <c r="N52" s="541">
        <f>G43</f>
        <v>1</v>
      </c>
      <c r="O52" s="372">
        <f>M52*N52</f>
        <v>4259.58</v>
      </c>
      <c r="P52" s="507">
        <v>1485.32</v>
      </c>
      <c r="Q52" s="505">
        <f>ROUND(((P52*$Q$51)+P52),2)</f>
        <v>1590.99</v>
      </c>
    </row>
    <row r="53" spans="2:17" ht="18" customHeight="1" x14ac:dyDescent="0.25">
      <c r="B53" s="369" t="s">
        <v>271</v>
      </c>
      <c r="C53" s="370">
        <v>0.4</v>
      </c>
      <c r="D53" s="478">
        <f>Q53</f>
        <v>1272.4100000000001</v>
      </c>
      <c r="E53" s="371">
        <f t="shared" ref="E53:E54" si="0">C53*D53</f>
        <v>508.96400000000006</v>
      </c>
      <c r="F53" s="34">
        <v>0</v>
      </c>
      <c r="G53" s="372">
        <f>ROUND(SUM(D53:F53),2)</f>
        <v>1781.37</v>
      </c>
      <c r="H53" s="33">
        <f t="shared" ref="H53:H54" si="1">ROUND(G53*75.89%,2)</f>
        <v>1351.88</v>
      </c>
      <c r="I53" s="372">
        <f t="shared" ref="I53:I54" si="2">ROUND(G53+H53,2)</f>
        <v>3133.25</v>
      </c>
      <c r="J53" s="33"/>
      <c r="K53" s="33">
        <f>K52</f>
        <v>339.28005119999995</v>
      </c>
      <c r="L53" s="257">
        <v>2.54</v>
      </c>
      <c r="M53" s="372">
        <f t="shared" ref="M53:M54" si="3">ROUND(SUM(I53:L53),2)</f>
        <v>3475.07</v>
      </c>
      <c r="N53" s="541">
        <f>G44</f>
        <v>2</v>
      </c>
      <c r="O53" s="372">
        <f>M53*N53</f>
        <v>6950.14</v>
      </c>
      <c r="P53" s="508">
        <v>1187.9000000000001</v>
      </c>
      <c r="Q53" s="505">
        <f>ROUND(((P53*$Q$51)+P53),2)</f>
        <v>1272.4100000000001</v>
      </c>
    </row>
    <row r="54" spans="2:17" ht="18" hidden="1" customHeight="1" x14ac:dyDescent="0.25">
      <c r="B54" s="369" t="s">
        <v>272</v>
      </c>
      <c r="C54" s="374">
        <v>0</v>
      </c>
      <c r="D54" s="33"/>
      <c r="E54" s="371">
        <f t="shared" si="0"/>
        <v>0</v>
      </c>
      <c r="F54" s="34">
        <v>0</v>
      </c>
      <c r="G54" s="372">
        <f t="shared" ref="G54" si="4">ROUND(SUM(D54:F54),2)</f>
        <v>0</v>
      </c>
      <c r="H54" s="33">
        <f t="shared" si="1"/>
        <v>0</v>
      </c>
      <c r="I54" s="372">
        <f t="shared" si="2"/>
        <v>0</v>
      </c>
      <c r="J54" s="33"/>
      <c r="K54" s="33"/>
      <c r="L54" s="257"/>
      <c r="M54" s="372">
        <f t="shared" si="3"/>
        <v>0</v>
      </c>
      <c r="N54" s="76"/>
      <c r="O54" s="373">
        <f t="shared" ref="O54" si="5">M54*N54</f>
        <v>0</v>
      </c>
    </row>
    <row r="55" spans="2:17" ht="15.75" thickBot="1" x14ac:dyDescent="0.3">
      <c r="B55" s="375"/>
      <c r="C55" s="376"/>
      <c r="D55" s="377"/>
      <c r="E55" s="378"/>
      <c r="F55" s="379"/>
      <c r="G55" s="380"/>
      <c r="H55" s="377"/>
      <c r="I55" s="380"/>
      <c r="J55" s="377"/>
      <c r="K55" s="377"/>
      <c r="L55" s="381"/>
      <c r="M55" s="380"/>
      <c r="N55" s="382"/>
      <c r="O55" s="383"/>
    </row>
    <row r="56" spans="2:17" ht="21.75" customHeight="1" thickBot="1" x14ac:dyDescent="0.3">
      <c r="D56" s="384"/>
      <c r="E56" s="385"/>
      <c r="F56" s="385"/>
      <c r="G56" s="385"/>
      <c r="H56" s="385"/>
      <c r="I56" s="385"/>
      <c r="J56" s="385"/>
      <c r="K56" s="385"/>
      <c r="L56" s="385"/>
      <c r="M56" s="385"/>
      <c r="N56" s="386">
        <f>SUM(N52:N55)</f>
        <v>3</v>
      </c>
      <c r="O56" s="211">
        <f>SUM(O52:O55)</f>
        <v>11209.720000000001</v>
      </c>
    </row>
    <row r="57" spans="2:17" ht="31.5" customHeight="1" thickBot="1" x14ac:dyDescent="0.3">
      <c r="B57" s="607" t="s">
        <v>413</v>
      </c>
      <c r="C57" s="607"/>
      <c r="D57" s="607"/>
      <c r="E57" s="607"/>
      <c r="F57" s="607"/>
      <c r="G57" s="607"/>
      <c r="H57" s="607"/>
      <c r="I57" s="607"/>
      <c r="J57" s="607"/>
      <c r="K57" s="607"/>
      <c r="L57" s="607"/>
      <c r="M57" s="607"/>
      <c r="N57" s="607"/>
      <c r="O57" s="607"/>
    </row>
    <row r="58" spans="2:17" s="37" customFormat="1" ht="19.5" thickBot="1" x14ac:dyDescent="0.35">
      <c r="B58" s="307" t="s">
        <v>102</v>
      </c>
      <c r="C58" s="201"/>
      <c r="D58" s="201"/>
      <c r="E58" s="201"/>
      <c r="F58" s="201"/>
      <c r="G58" s="201"/>
      <c r="H58" s="201"/>
      <c r="I58" s="201"/>
      <c r="J58" s="202"/>
      <c r="K58" s="201"/>
      <c r="L58" s="201"/>
      <c r="M58" s="201"/>
      <c r="N58" s="201"/>
      <c r="O58" s="203"/>
    </row>
    <row r="59" spans="2:17" ht="25.5" x14ac:dyDescent="0.25">
      <c r="B59" s="387" t="s">
        <v>27</v>
      </c>
      <c r="C59" s="387" t="s">
        <v>28</v>
      </c>
      <c r="D59" s="387" t="s">
        <v>29</v>
      </c>
      <c r="E59" s="387" t="s">
        <v>121</v>
      </c>
      <c r="F59" s="387" t="s">
        <v>169</v>
      </c>
      <c r="G59" s="387" t="s">
        <v>30</v>
      </c>
      <c r="H59" s="388"/>
      <c r="J59" s="27"/>
    </row>
    <row r="60" spans="2:17" x14ac:dyDescent="0.2">
      <c r="B60" s="18" t="s">
        <v>115</v>
      </c>
      <c r="C60" s="389">
        <v>6</v>
      </c>
      <c r="D60" s="371">
        <v>40</v>
      </c>
      <c r="E60" s="390">
        <f>N56</f>
        <v>3</v>
      </c>
      <c r="F60" s="33">
        <f t="shared" ref="F60:F66" si="6">D60/12</f>
        <v>3.3333333333333335</v>
      </c>
      <c r="G60" s="48">
        <f t="shared" ref="G60:G66" si="7">E60*F60*C60</f>
        <v>60</v>
      </c>
      <c r="J60" s="27"/>
    </row>
    <row r="61" spans="2:17" x14ac:dyDescent="0.2">
      <c r="B61" s="18" t="s">
        <v>116</v>
      </c>
      <c r="C61" s="389">
        <v>6</v>
      </c>
      <c r="D61" s="371">
        <v>35</v>
      </c>
      <c r="E61" s="390">
        <f>E60</f>
        <v>3</v>
      </c>
      <c r="F61" s="33">
        <f t="shared" si="6"/>
        <v>2.9166666666666665</v>
      </c>
      <c r="G61" s="48">
        <f t="shared" si="7"/>
        <v>52.5</v>
      </c>
      <c r="J61" s="27"/>
    </row>
    <row r="62" spans="2:17" x14ac:dyDescent="0.2">
      <c r="B62" s="18" t="s">
        <v>117</v>
      </c>
      <c r="C62" s="389">
        <v>3</v>
      </c>
      <c r="D62" s="371">
        <v>18</v>
      </c>
      <c r="E62" s="390">
        <f>N53</f>
        <v>2</v>
      </c>
      <c r="F62" s="33">
        <f t="shared" si="6"/>
        <v>1.5</v>
      </c>
      <c r="G62" s="48">
        <f t="shared" si="7"/>
        <v>9</v>
      </c>
      <c r="J62" s="27"/>
    </row>
    <row r="63" spans="2:17" x14ac:dyDescent="0.2">
      <c r="B63" s="18" t="s">
        <v>118</v>
      </c>
      <c r="C63" s="389">
        <v>3</v>
      </c>
      <c r="D63" s="371">
        <v>40</v>
      </c>
      <c r="E63" s="390">
        <f>E60</f>
        <v>3</v>
      </c>
      <c r="F63" s="33">
        <f t="shared" si="6"/>
        <v>3.3333333333333335</v>
      </c>
      <c r="G63" s="48">
        <f t="shared" si="7"/>
        <v>30</v>
      </c>
      <c r="J63" s="27"/>
    </row>
    <row r="64" spans="2:17" x14ac:dyDescent="0.2">
      <c r="B64" s="18" t="s">
        <v>119</v>
      </c>
      <c r="C64" s="389">
        <v>3</v>
      </c>
      <c r="D64" s="371">
        <v>17</v>
      </c>
      <c r="E64" s="390">
        <f>E62</f>
        <v>2</v>
      </c>
      <c r="F64" s="33">
        <f t="shared" si="6"/>
        <v>1.4166666666666667</v>
      </c>
      <c r="G64" s="48">
        <f t="shared" si="7"/>
        <v>8.5</v>
      </c>
      <c r="J64" s="27"/>
    </row>
    <row r="65" spans="2:15" x14ac:dyDescent="0.2">
      <c r="B65" s="18" t="s">
        <v>292</v>
      </c>
      <c r="C65" s="389">
        <v>12</v>
      </c>
      <c r="D65" s="371">
        <v>12</v>
      </c>
      <c r="E65" s="390">
        <f>E62</f>
        <v>2</v>
      </c>
      <c r="F65" s="33">
        <f t="shared" si="6"/>
        <v>1</v>
      </c>
      <c r="G65" s="48">
        <f t="shared" si="7"/>
        <v>24</v>
      </c>
      <c r="J65" s="27"/>
    </row>
    <row r="66" spans="2:15" x14ac:dyDescent="0.2">
      <c r="B66" s="18" t="s">
        <v>120</v>
      </c>
      <c r="C66" s="389">
        <v>3</v>
      </c>
      <c r="D66" s="371">
        <v>12</v>
      </c>
      <c r="E66" s="390">
        <f>E62</f>
        <v>2</v>
      </c>
      <c r="F66" s="33">
        <f t="shared" si="6"/>
        <v>1</v>
      </c>
      <c r="G66" s="48">
        <f t="shared" si="7"/>
        <v>6</v>
      </c>
      <c r="J66" s="27"/>
    </row>
    <row r="67" spans="2:15" ht="15" x14ac:dyDescent="0.25">
      <c r="C67" s="27"/>
      <c r="D67" s="27"/>
      <c r="E67" s="27"/>
      <c r="F67" s="27"/>
      <c r="G67" s="391">
        <f t="shared" ref="G67" si="8">SUM(G60:G66)</f>
        <v>190</v>
      </c>
      <c r="J67" s="27"/>
    </row>
    <row r="68" spans="2:15" x14ac:dyDescent="0.2">
      <c r="J68" s="27"/>
    </row>
    <row r="69" spans="2:15" ht="13.5" thickBot="1" x14ac:dyDescent="0.25">
      <c r="J69" s="27"/>
    </row>
    <row r="70" spans="2:15" s="37" customFormat="1" ht="19.5" thickBot="1" x14ac:dyDescent="0.35">
      <c r="B70" s="307" t="s">
        <v>50</v>
      </c>
      <c r="C70" s="201"/>
      <c r="D70" s="201"/>
      <c r="E70" s="201"/>
      <c r="F70" s="201"/>
      <c r="G70" s="201"/>
      <c r="H70" s="201"/>
      <c r="I70" s="201"/>
      <c r="J70" s="202"/>
      <c r="K70" s="201"/>
      <c r="L70" s="201"/>
      <c r="M70" s="201"/>
      <c r="N70" s="201"/>
      <c r="O70" s="203"/>
    </row>
    <row r="71" spans="2:15" s="327" customFormat="1" ht="48.75" customHeight="1" x14ac:dyDescent="0.2">
      <c r="B71" s="340" t="s">
        <v>245</v>
      </c>
      <c r="C71" s="341" t="s">
        <v>234</v>
      </c>
      <c r="D71" s="341" t="s">
        <v>230</v>
      </c>
      <c r="E71" s="342" t="s">
        <v>231</v>
      </c>
      <c r="F71" s="341" t="s">
        <v>232</v>
      </c>
    </row>
    <row r="72" spans="2:15" ht="28.15" hidden="1" customHeight="1" x14ac:dyDescent="0.2">
      <c r="B72" s="329"/>
      <c r="C72" s="331"/>
      <c r="D72" s="18">
        <v>3</v>
      </c>
      <c r="E72" s="392">
        <f>C72*D72</f>
        <v>0</v>
      </c>
      <c r="F72" s="393">
        <f t="shared" ref="F72:F79" si="9">E72*$G$72</f>
        <v>0</v>
      </c>
      <c r="G72" s="328">
        <v>4.2859999999999996</v>
      </c>
    </row>
    <row r="73" spans="2:15" ht="28.15" hidden="1" customHeight="1" x14ac:dyDescent="0.2">
      <c r="B73" s="329"/>
      <c r="C73" s="331"/>
      <c r="D73" s="18">
        <v>3</v>
      </c>
      <c r="E73" s="392">
        <f t="shared" ref="E73:E79" si="10">C73*D73</f>
        <v>0</v>
      </c>
      <c r="F73" s="393">
        <f t="shared" si="9"/>
        <v>0</v>
      </c>
    </row>
    <row r="74" spans="2:15" ht="28.15" hidden="1" customHeight="1" x14ac:dyDescent="0.2">
      <c r="B74" s="329"/>
      <c r="C74" s="331"/>
      <c r="D74" s="18">
        <v>3</v>
      </c>
      <c r="E74" s="392">
        <f t="shared" si="10"/>
        <v>0</v>
      </c>
      <c r="F74" s="393">
        <f t="shared" si="9"/>
        <v>0</v>
      </c>
    </row>
    <row r="75" spans="2:15" ht="28.15" hidden="1" customHeight="1" x14ac:dyDescent="0.2">
      <c r="B75" s="329"/>
      <c r="C75" s="331"/>
      <c r="D75" s="18">
        <v>3</v>
      </c>
      <c r="E75" s="392">
        <f t="shared" si="10"/>
        <v>0</v>
      </c>
      <c r="F75" s="393">
        <f t="shared" si="9"/>
        <v>0</v>
      </c>
    </row>
    <row r="76" spans="2:15" ht="28.15" hidden="1" customHeight="1" x14ac:dyDescent="0.2">
      <c r="B76" s="329"/>
      <c r="C76" s="331"/>
      <c r="D76" s="18">
        <v>3</v>
      </c>
      <c r="E76" s="392">
        <f t="shared" si="10"/>
        <v>0</v>
      </c>
      <c r="F76" s="393">
        <f t="shared" si="9"/>
        <v>0</v>
      </c>
    </row>
    <row r="77" spans="2:15" ht="28.15" hidden="1" customHeight="1" x14ac:dyDescent="0.2">
      <c r="B77" s="329"/>
      <c r="C77" s="331"/>
      <c r="D77" s="18">
        <v>3</v>
      </c>
      <c r="E77" s="392">
        <f t="shared" si="10"/>
        <v>0</v>
      </c>
      <c r="F77" s="393">
        <f t="shared" si="9"/>
        <v>0</v>
      </c>
    </row>
    <row r="78" spans="2:15" ht="28.15" hidden="1" customHeight="1" x14ac:dyDescent="0.2">
      <c r="B78" s="329"/>
      <c r="C78" s="331"/>
      <c r="D78" s="18">
        <v>6</v>
      </c>
      <c r="E78" s="392">
        <f t="shared" si="10"/>
        <v>0</v>
      </c>
      <c r="F78" s="393">
        <f t="shared" si="9"/>
        <v>0</v>
      </c>
    </row>
    <row r="79" spans="2:15" ht="28.15" hidden="1" customHeight="1" x14ac:dyDescent="0.2">
      <c r="B79" s="329"/>
      <c r="C79" s="331"/>
      <c r="D79" s="18">
        <v>3</v>
      </c>
      <c r="E79" s="392">
        <f t="shared" si="10"/>
        <v>0</v>
      </c>
      <c r="F79" s="393">
        <f t="shared" si="9"/>
        <v>0</v>
      </c>
    </row>
    <row r="80" spans="2:15" s="330" customFormat="1" ht="22.15" customHeight="1" x14ac:dyDescent="0.25">
      <c r="B80" s="336" t="s">
        <v>233</v>
      </c>
      <c r="C80" s="337">
        <f>VARRIÇÃO!C30</f>
        <v>18.79</v>
      </c>
      <c r="D80" s="338">
        <v>3.37</v>
      </c>
      <c r="E80" s="339">
        <f>C80*D80</f>
        <v>63.322299999999998</v>
      </c>
      <c r="F80" s="339">
        <f>E80*4.286</f>
        <v>271.39937779999997</v>
      </c>
      <c r="H80" s="539"/>
    </row>
    <row r="81" spans="2:20" x14ac:dyDescent="0.2">
      <c r="E81" s="27"/>
      <c r="F81" s="27"/>
    </row>
    <row r="82" spans="2:20" ht="21.6" customHeight="1" x14ac:dyDescent="0.2">
      <c r="B82" s="423" t="s">
        <v>78</v>
      </c>
      <c r="C82" s="540">
        <v>8</v>
      </c>
      <c r="D82" s="394" t="s">
        <v>79</v>
      </c>
      <c r="E82" s="423"/>
      <c r="F82" s="424"/>
    </row>
    <row r="83" spans="2:20" x14ac:dyDescent="0.2">
      <c r="E83" s="27"/>
      <c r="F83" s="27"/>
    </row>
    <row r="84" spans="2:20" ht="40.5" customHeight="1" x14ac:dyDescent="0.2">
      <c r="B84" s="340" t="s">
        <v>235</v>
      </c>
      <c r="C84" s="341" t="s">
        <v>236</v>
      </c>
      <c r="D84" s="341" t="s">
        <v>230</v>
      </c>
      <c r="E84" s="343" t="s">
        <v>231</v>
      </c>
      <c r="F84" s="344" t="s">
        <v>232</v>
      </c>
    </row>
    <row r="85" spans="2:20" s="1" customFormat="1" ht="24" customHeight="1" x14ac:dyDescent="0.25">
      <c r="B85" s="395" t="s">
        <v>78</v>
      </c>
      <c r="C85" s="337">
        <v>7</v>
      </c>
      <c r="D85" s="395">
        <v>6</v>
      </c>
      <c r="E85" s="425">
        <f>C85*D85</f>
        <v>42</v>
      </c>
      <c r="F85" s="426">
        <f>E85*$G$72</f>
        <v>180.01199999999997</v>
      </c>
    </row>
    <row r="86" spans="2:20" ht="18" customHeight="1" thickBot="1" x14ac:dyDescent="0.25"/>
    <row r="87" spans="2:20" ht="75" customHeight="1" x14ac:dyDescent="0.2">
      <c r="B87" s="332" t="s">
        <v>31</v>
      </c>
      <c r="C87" s="332" t="s">
        <v>238</v>
      </c>
      <c r="D87" s="332" t="s">
        <v>74</v>
      </c>
      <c r="E87" s="332" t="s">
        <v>75</v>
      </c>
      <c r="F87" s="332"/>
      <c r="G87" s="332" t="s">
        <v>30</v>
      </c>
      <c r="I87" s="20" t="s">
        <v>240</v>
      </c>
      <c r="J87" s="397"/>
      <c r="K87" s="398"/>
      <c r="L87" s="398"/>
      <c r="M87" s="399"/>
    </row>
    <row r="88" spans="2:20" ht="22.9" customHeight="1" x14ac:dyDescent="0.2">
      <c r="B88" s="308" t="s">
        <v>237</v>
      </c>
      <c r="C88" s="296">
        <f>F80</f>
        <v>271.39937779999997</v>
      </c>
      <c r="D88" s="396">
        <v>0.56100000000000005</v>
      </c>
      <c r="E88" s="296">
        <v>4.5</v>
      </c>
      <c r="F88" s="296"/>
      <c r="G88" s="309">
        <f>C88*D88*E88</f>
        <v>685.14772925610009</v>
      </c>
      <c r="I88" s="335" t="s">
        <v>54</v>
      </c>
      <c r="J88" s="400"/>
      <c r="K88" s="50"/>
      <c r="L88" s="50"/>
      <c r="M88" s="19"/>
    </row>
    <row r="89" spans="2:20" ht="25.5" x14ac:dyDescent="0.2">
      <c r="B89" s="308" t="s">
        <v>239</v>
      </c>
      <c r="C89" s="296">
        <f>F85</f>
        <v>180.01199999999997</v>
      </c>
      <c r="D89" s="396">
        <v>0.251</v>
      </c>
      <c r="E89" s="296">
        <f>E88</f>
        <v>4.5</v>
      </c>
      <c r="F89" s="296"/>
      <c r="G89" s="309">
        <f>C89*D89*E89</f>
        <v>203.32355399999994</v>
      </c>
      <c r="I89" s="335" t="s">
        <v>55</v>
      </c>
      <c r="J89" s="50"/>
      <c r="K89" s="50"/>
      <c r="L89" s="50"/>
      <c r="M89" s="19"/>
    </row>
    <row r="90" spans="2:20" ht="27.75" customHeight="1" thickBot="1" x14ac:dyDescent="0.25">
      <c r="B90" s="308" t="s">
        <v>244</v>
      </c>
      <c r="C90" s="296">
        <f>43*25.25</f>
        <v>1085.75</v>
      </c>
      <c r="D90" s="296">
        <v>0.11</v>
      </c>
      <c r="E90" s="296">
        <v>4.3</v>
      </c>
      <c r="F90" s="296"/>
      <c r="G90" s="309">
        <f>C90*D90*E90</f>
        <v>513.55975000000001</v>
      </c>
      <c r="I90" s="401" t="s">
        <v>56</v>
      </c>
      <c r="J90" s="402"/>
      <c r="K90" s="402"/>
      <c r="L90" s="402"/>
      <c r="M90" s="403"/>
    </row>
    <row r="91" spans="2:20" ht="20.45" customHeight="1" x14ac:dyDescent="0.25">
      <c r="C91" s="27"/>
      <c r="D91" s="27"/>
      <c r="E91" s="27"/>
      <c r="F91" s="27"/>
      <c r="G91" s="298">
        <f>SUM(G88:G90)</f>
        <v>1402.0310332561</v>
      </c>
      <c r="I91" s="20" t="s">
        <v>241</v>
      </c>
      <c r="J91" s="397"/>
      <c r="K91" s="398"/>
      <c r="L91" s="398"/>
      <c r="M91" s="399"/>
    </row>
    <row r="92" spans="2:20" ht="18" customHeight="1" x14ac:dyDescent="0.2">
      <c r="B92" s="5" t="s">
        <v>243</v>
      </c>
      <c r="I92" s="335" t="s">
        <v>242</v>
      </c>
      <c r="J92" s="400"/>
      <c r="K92" s="50"/>
      <c r="L92" s="50"/>
      <c r="M92" s="19"/>
    </row>
    <row r="93" spans="2:20" ht="18" customHeight="1" x14ac:dyDescent="0.2">
      <c r="I93" s="335" t="s">
        <v>55</v>
      </c>
      <c r="J93" s="50"/>
      <c r="K93" s="50"/>
      <c r="L93" s="50"/>
      <c r="M93" s="19"/>
      <c r="P93" s="462" t="s">
        <v>275</v>
      </c>
      <c r="Q93" s="461" t="s">
        <v>4</v>
      </c>
      <c r="R93" s="463">
        <f>6/12</f>
        <v>0.5</v>
      </c>
      <c r="S93" s="459">
        <v>35.450000000000003</v>
      </c>
      <c r="T93" s="464">
        <f>R93*S93</f>
        <v>17.725000000000001</v>
      </c>
    </row>
    <row r="94" spans="2:20" ht="18" customHeight="1" thickBot="1" x14ac:dyDescent="0.25">
      <c r="I94" s="401" t="s">
        <v>56</v>
      </c>
      <c r="J94" s="402"/>
      <c r="K94" s="402"/>
      <c r="L94" s="402"/>
      <c r="M94" s="403"/>
      <c r="P94" s="462" t="s">
        <v>276</v>
      </c>
      <c r="Q94" s="461" t="s">
        <v>4</v>
      </c>
      <c r="R94" s="463">
        <f>6/12</f>
        <v>0.5</v>
      </c>
      <c r="S94" s="459">
        <v>35.9</v>
      </c>
      <c r="T94" s="464">
        <f t="shared" ref="T94:T102" si="11">R94*S94</f>
        <v>17.95</v>
      </c>
    </row>
    <row r="95" spans="2:20" ht="18" customHeight="1" thickBot="1" x14ac:dyDescent="0.25">
      <c r="P95" s="462" t="s">
        <v>277</v>
      </c>
      <c r="Q95" s="461" t="s">
        <v>4</v>
      </c>
      <c r="R95" s="463">
        <f>6/12</f>
        <v>0.5</v>
      </c>
      <c r="S95" s="459">
        <v>34</v>
      </c>
      <c r="T95" s="464">
        <f t="shared" si="11"/>
        <v>17</v>
      </c>
    </row>
    <row r="96" spans="2:20" s="37" customFormat="1" ht="19.5" thickBot="1" x14ac:dyDescent="0.35">
      <c r="B96" s="307" t="s">
        <v>103</v>
      </c>
      <c r="C96" s="204"/>
      <c r="D96" s="204"/>
      <c r="E96" s="204"/>
      <c r="F96" s="204"/>
      <c r="G96" s="205"/>
      <c r="P96" s="462" t="s">
        <v>278</v>
      </c>
      <c r="Q96" s="461" t="s">
        <v>4</v>
      </c>
      <c r="R96" s="463">
        <f>2/12</f>
        <v>0.16666666666666666</v>
      </c>
      <c r="S96" s="459">
        <v>0</v>
      </c>
      <c r="T96" s="464">
        <f t="shared" si="11"/>
        <v>0</v>
      </c>
    </row>
    <row r="97" spans="2:22" ht="15" customHeight="1" x14ac:dyDescent="0.25">
      <c r="B97" s="404" t="s">
        <v>27</v>
      </c>
      <c r="C97" s="404" t="s">
        <v>28</v>
      </c>
      <c r="D97" s="404" t="s">
        <v>29</v>
      </c>
      <c r="E97" s="405" t="s">
        <v>15</v>
      </c>
      <c r="F97" s="405" t="s">
        <v>169</v>
      </c>
      <c r="G97" s="404" t="s">
        <v>30</v>
      </c>
      <c r="P97" s="462" t="s">
        <v>279</v>
      </c>
      <c r="Q97" s="461" t="s">
        <v>4</v>
      </c>
      <c r="R97" s="463">
        <f>4/12</f>
        <v>0.33333333333333331</v>
      </c>
      <c r="S97" s="459">
        <v>25</v>
      </c>
      <c r="T97" s="464">
        <f t="shared" si="11"/>
        <v>8.3333333333333321</v>
      </c>
    </row>
    <row r="98" spans="2:22" ht="15" customHeight="1" x14ac:dyDescent="0.2">
      <c r="B98" s="18" t="s">
        <v>47</v>
      </c>
      <c r="C98" s="74">
        <v>2</v>
      </c>
      <c r="D98" s="33">
        <v>31.9</v>
      </c>
      <c r="E98" s="74">
        <f>1*C98</f>
        <v>2</v>
      </c>
      <c r="F98" s="74">
        <f>D98/12</f>
        <v>2.6583333333333332</v>
      </c>
      <c r="G98" s="48">
        <f>E98*F98</f>
        <v>5.3166666666666664</v>
      </c>
      <c r="P98" s="462" t="s">
        <v>280</v>
      </c>
      <c r="Q98" s="461" t="s">
        <v>4</v>
      </c>
      <c r="R98" s="463">
        <f>3/12</f>
        <v>0.25</v>
      </c>
      <c r="S98" s="459">
        <v>0</v>
      </c>
      <c r="T98" s="464">
        <f t="shared" si="11"/>
        <v>0</v>
      </c>
    </row>
    <row r="99" spans="2:22" ht="15" customHeight="1" x14ac:dyDescent="0.2">
      <c r="B99" s="18" t="s">
        <v>48</v>
      </c>
      <c r="C99" s="74">
        <v>2</v>
      </c>
      <c r="D99" s="33">
        <v>35.450000000000003</v>
      </c>
      <c r="E99" s="74">
        <f>1*C99</f>
        <v>2</v>
      </c>
      <c r="F99" s="74">
        <f t="shared" ref="F99:F100" si="12">D99/12</f>
        <v>2.9541666666666671</v>
      </c>
      <c r="G99" s="48">
        <f t="shared" ref="G99:G100" si="13">E99*F99</f>
        <v>5.9083333333333341</v>
      </c>
      <c r="P99" s="462" t="s">
        <v>281</v>
      </c>
      <c r="Q99" s="461" t="s">
        <v>4</v>
      </c>
      <c r="R99" s="463">
        <v>1</v>
      </c>
      <c r="S99" s="459">
        <v>0</v>
      </c>
      <c r="T99" s="464">
        <f t="shared" si="11"/>
        <v>0</v>
      </c>
    </row>
    <row r="100" spans="2:22" ht="15" customHeight="1" x14ac:dyDescent="0.2">
      <c r="B100" s="406" t="s">
        <v>49</v>
      </c>
      <c r="C100" s="407">
        <v>2</v>
      </c>
      <c r="D100" s="408">
        <v>34</v>
      </c>
      <c r="E100" s="407">
        <f>1*C100</f>
        <v>2</v>
      </c>
      <c r="F100" s="407">
        <f t="shared" si="12"/>
        <v>2.8333333333333335</v>
      </c>
      <c r="G100" s="48">
        <f t="shared" si="13"/>
        <v>5.666666666666667</v>
      </c>
      <c r="P100" s="462" t="s">
        <v>282</v>
      </c>
      <c r="Q100" s="461" t="s">
        <v>4</v>
      </c>
      <c r="R100" s="463">
        <f>2/12</f>
        <v>0.16666666666666666</v>
      </c>
      <c r="S100" s="459">
        <v>0</v>
      </c>
      <c r="T100" s="464">
        <f t="shared" si="11"/>
        <v>0</v>
      </c>
    </row>
    <row r="101" spans="2:22" ht="15" customHeight="1" x14ac:dyDescent="0.2">
      <c r="B101" s="409" t="s">
        <v>104</v>
      </c>
      <c r="C101" s="410"/>
      <c r="D101" s="299"/>
      <c r="E101" s="410"/>
      <c r="F101" s="301"/>
      <c r="G101" s="411">
        <v>100</v>
      </c>
      <c r="P101" s="462" t="s">
        <v>283</v>
      </c>
      <c r="Q101" s="461" t="s">
        <v>4</v>
      </c>
      <c r="R101" s="463">
        <f>2/12</f>
        <v>0.16666666666666666</v>
      </c>
      <c r="S101" s="459">
        <v>31.9</v>
      </c>
      <c r="T101" s="464">
        <f t="shared" si="11"/>
        <v>5.3166666666666664</v>
      </c>
    </row>
    <row r="102" spans="2:22" ht="15" customHeight="1" x14ac:dyDescent="0.25">
      <c r="C102" s="27"/>
      <c r="D102" s="27"/>
      <c r="E102" s="27"/>
      <c r="F102" s="27"/>
      <c r="G102" s="391">
        <f>SUM(G98:G101)</f>
        <v>116.89166666666667</v>
      </c>
      <c r="P102" s="462" t="s">
        <v>284</v>
      </c>
      <c r="Q102" s="461" t="s">
        <v>4</v>
      </c>
      <c r="R102" s="463">
        <f>2/12</f>
        <v>0.16666666666666666</v>
      </c>
      <c r="S102" s="459">
        <v>0</v>
      </c>
      <c r="T102" s="464">
        <f t="shared" si="11"/>
        <v>0</v>
      </c>
    </row>
    <row r="103" spans="2:22" ht="8.25" customHeight="1" thickBot="1" x14ac:dyDescent="0.25"/>
    <row r="104" spans="2:22" s="37" customFormat="1" ht="23.25" customHeight="1" thickBot="1" x14ac:dyDescent="0.35">
      <c r="B104" s="307" t="s">
        <v>63</v>
      </c>
      <c r="C104" s="201"/>
      <c r="D104" s="201"/>
      <c r="E104" s="201"/>
      <c r="F104" s="201"/>
      <c r="G104" s="201"/>
      <c r="H104" s="201"/>
      <c r="I104" s="201"/>
      <c r="J104" s="202"/>
      <c r="K104" s="201"/>
      <c r="L104" s="201"/>
      <c r="M104" s="201"/>
      <c r="N104" s="201"/>
      <c r="O104" s="203"/>
    </row>
    <row r="105" spans="2:22" ht="4.5" customHeight="1" thickBot="1" x14ac:dyDescent="0.25"/>
    <row r="106" spans="2:22" ht="15" customHeight="1" thickBot="1" x14ac:dyDescent="0.3">
      <c r="B106" s="360" t="s">
        <v>429</v>
      </c>
      <c r="C106" s="361"/>
      <c r="D106" s="361"/>
      <c r="E106" s="361"/>
      <c r="F106" s="361"/>
      <c r="G106" s="362"/>
    </row>
    <row r="107" spans="2:22" ht="63" hidden="1" customHeight="1" thickBot="1" x14ac:dyDescent="0.3">
      <c r="B107" s="412" t="s">
        <v>424</v>
      </c>
      <c r="C107" s="412"/>
      <c r="D107" s="412" t="s">
        <v>32</v>
      </c>
      <c r="E107" s="412" t="s">
        <v>33</v>
      </c>
      <c r="F107" s="412" t="s">
        <v>34</v>
      </c>
      <c r="G107" s="412" t="s">
        <v>35</v>
      </c>
      <c r="H107" s="620"/>
      <c r="I107" s="621"/>
      <c r="J107" s="621"/>
      <c r="K107" s="621"/>
      <c r="L107" s="621"/>
      <c r="M107" s="621"/>
      <c r="N107" s="621"/>
      <c r="O107" s="621"/>
      <c r="T107" s="135">
        <v>50477</v>
      </c>
    </row>
    <row r="108" spans="2:22" ht="15" hidden="1" customHeight="1" thickBot="1" x14ac:dyDescent="0.25">
      <c r="B108" s="18" t="s">
        <v>62</v>
      </c>
      <c r="C108" s="33"/>
      <c r="D108" s="74" t="s">
        <v>36</v>
      </c>
      <c r="E108" s="32" t="e">
        <f>G108/F108</f>
        <v>#DIV/0!</v>
      </c>
      <c r="F108" s="33"/>
      <c r="G108" s="48">
        <f>((4+1)*F108*0.025)/(2*4*12)</f>
        <v>0</v>
      </c>
      <c r="I108" s="595" t="s">
        <v>58</v>
      </c>
      <c r="J108" s="596"/>
      <c r="K108" s="596"/>
      <c r="L108" s="596"/>
      <c r="M108" s="596"/>
      <c r="N108" s="596"/>
      <c r="O108" s="597"/>
      <c r="P108" s="291">
        <v>1.3020833333333333E-3</v>
      </c>
      <c r="T108" s="135">
        <f>T107/1000</f>
        <v>50.476999999999997</v>
      </c>
      <c r="U108" s="5">
        <v>25.25</v>
      </c>
      <c r="V108" s="413">
        <f>T108*U108</f>
        <v>1274.5442499999999</v>
      </c>
    </row>
    <row r="109" spans="2:22" ht="15" hidden="1" customHeight="1" thickBot="1" x14ac:dyDescent="0.25">
      <c r="B109" s="18" t="s">
        <v>59</v>
      </c>
      <c r="C109" s="33"/>
      <c r="D109" s="74" t="s">
        <v>36</v>
      </c>
      <c r="E109" s="32" t="e">
        <f>G109/F109</f>
        <v>#DIV/0!</v>
      </c>
      <c r="F109" s="33">
        <f>F108</f>
        <v>0</v>
      </c>
      <c r="G109" s="48">
        <f>F109*4%/12</f>
        <v>0</v>
      </c>
      <c r="I109" s="595" t="s">
        <v>106</v>
      </c>
      <c r="J109" s="596"/>
      <c r="K109" s="596"/>
      <c r="L109" s="596"/>
      <c r="M109" s="596"/>
      <c r="N109" s="596"/>
      <c r="O109" s="597"/>
      <c r="P109" s="291">
        <v>3.3333333333333335E-3</v>
      </c>
      <c r="T109" s="135">
        <f>11*2</f>
        <v>22</v>
      </c>
      <c r="U109" s="5">
        <f>U108</f>
        <v>25.25</v>
      </c>
      <c r="V109" s="413">
        <f>T109*U109</f>
        <v>555.5</v>
      </c>
    </row>
    <row r="110" spans="2:22" ht="15" hidden="1" customHeight="1" thickBot="1" x14ac:dyDescent="0.3">
      <c r="B110" s="18" t="s">
        <v>37</v>
      </c>
      <c r="C110" s="33"/>
      <c r="D110" s="74" t="s">
        <v>36</v>
      </c>
      <c r="E110" s="30" t="e">
        <f>G110/F110</f>
        <v>#DIV/0!</v>
      </c>
      <c r="F110" s="34">
        <f>F108</f>
        <v>0</v>
      </c>
      <c r="G110" s="31">
        <f>((((4+1)*F108)/(2*4))*0.06)/12</f>
        <v>0</v>
      </c>
      <c r="I110" s="592" t="s">
        <v>53</v>
      </c>
      <c r="J110" s="593"/>
      <c r="K110" s="593"/>
      <c r="L110" s="593"/>
      <c r="M110" s="593"/>
      <c r="N110" s="593"/>
      <c r="O110" s="594"/>
      <c r="P110" s="291">
        <v>3.1250000000000002E-3</v>
      </c>
      <c r="T110" s="135"/>
      <c r="V110" s="413">
        <f>SUM(V108:V109)</f>
        <v>1830.0442499999999</v>
      </c>
    </row>
    <row r="111" spans="2:22" ht="15" hidden="1" customHeight="1" thickBot="1" x14ac:dyDescent="0.3">
      <c r="B111" s="18" t="s">
        <v>38</v>
      </c>
      <c r="C111" s="33"/>
      <c r="D111" s="74" t="s">
        <v>36</v>
      </c>
      <c r="E111" s="30" t="e">
        <f t="shared" ref="E111:E112" si="14">G111/F111</f>
        <v>#DIV/0!</v>
      </c>
      <c r="F111" s="34">
        <f>F110</f>
        <v>0</v>
      </c>
      <c r="G111" s="31">
        <f>((((1-0.2/100)/4))*F111)/12</f>
        <v>0</v>
      </c>
      <c r="I111" s="595" t="s">
        <v>52</v>
      </c>
      <c r="J111" s="596"/>
      <c r="K111" s="596"/>
      <c r="L111" s="596"/>
      <c r="M111" s="596"/>
      <c r="N111" s="596"/>
      <c r="O111" s="597"/>
      <c r="P111" s="291">
        <v>2.0791666666666667E-2</v>
      </c>
    </row>
    <row r="112" spans="2:22" ht="15" hidden="1" customHeight="1" thickBot="1" x14ac:dyDescent="0.3">
      <c r="B112" s="18" t="s">
        <v>39</v>
      </c>
      <c r="C112" s="33"/>
      <c r="D112" s="74" t="s">
        <v>36</v>
      </c>
      <c r="E112" s="32" t="e">
        <f t="shared" si="14"/>
        <v>#DIV/0!</v>
      </c>
      <c r="F112" s="33">
        <f>F108</f>
        <v>0</v>
      </c>
      <c r="G112" s="31">
        <f>0.9*F112/48</f>
        <v>0</v>
      </c>
      <c r="I112" s="595" t="s">
        <v>57</v>
      </c>
      <c r="J112" s="596"/>
      <c r="K112" s="596"/>
      <c r="L112" s="596"/>
      <c r="M112" s="596"/>
      <c r="N112" s="596"/>
      <c r="O112" s="597"/>
      <c r="P112" s="291">
        <v>1.8749999999999999E-2</v>
      </c>
    </row>
    <row r="113" spans="2:16" ht="15" hidden="1" customHeight="1" thickBot="1" x14ac:dyDescent="0.3">
      <c r="B113" s="18" t="s">
        <v>40</v>
      </c>
      <c r="C113" s="33"/>
      <c r="D113" s="74" t="s">
        <v>36</v>
      </c>
      <c r="E113" s="32">
        <v>5.0000000000000001E-3</v>
      </c>
      <c r="F113" s="33">
        <f>F108</f>
        <v>0</v>
      </c>
      <c r="G113" s="31">
        <f>0.5%*F113</f>
        <v>0</v>
      </c>
      <c r="I113" s="598" t="s">
        <v>60</v>
      </c>
      <c r="J113" s="599"/>
      <c r="K113" s="599"/>
      <c r="L113" s="599"/>
      <c r="M113" s="599"/>
      <c r="N113" s="599"/>
      <c r="O113" s="600"/>
      <c r="P113" s="291">
        <v>5.0000000000000001E-3</v>
      </c>
    </row>
    <row r="114" spans="2:16" ht="15" hidden="1" customHeight="1" thickBot="1" x14ac:dyDescent="0.25">
      <c r="B114" s="18" t="s">
        <v>41</v>
      </c>
      <c r="C114" s="33"/>
      <c r="D114" s="74" t="s">
        <v>36</v>
      </c>
      <c r="E114" s="32">
        <v>0</v>
      </c>
      <c r="F114" s="33">
        <f>G88+G89</f>
        <v>888.47128325610004</v>
      </c>
      <c r="G114" s="48">
        <f t="shared" ref="G114" si="15">ROUND(E114*F114,2)</f>
        <v>0</v>
      </c>
      <c r="I114" s="598" t="s">
        <v>61</v>
      </c>
      <c r="J114" s="599"/>
      <c r="K114" s="599"/>
      <c r="L114" s="599"/>
      <c r="M114" s="599"/>
      <c r="N114" s="599"/>
      <c r="O114" s="600"/>
      <c r="P114" s="291">
        <v>0.1</v>
      </c>
    </row>
    <row r="115" spans="2:16" ht="15" hidden="1" customHeight="1" x14ac:dyDescent="0.25">
      <c r="C115" s="27"/>
      <c r="D115" s="27"/>
      <c r="E115" s="27"/>
      <c r="F115" s="27"/>
      <c r="G115" s="391">
        <f>SUM(G108:G114)</f>
        <v>0</v>
      </c>
      <c r="N115" s="27"/>
      <c r="P115" s="135">
        <v>13164.370833333334</v>
      </c>
    </row>
    <row r="116" spans="2:16" ht="15" hidden="1" customHeight="1" x14ac:dyDescent="0.2">
      <c r="B116" s="55" t="s">
        <v>317</v>
      </c>
      <c r="N116" s="27"/>
    </row>
    <row r="117" spans="2:16" ht="15" customHeight="1" thickBot="1" x14ac:dyDescent="0.25">
      <c r="I117" s="27"/>
      <c r="N117" s="27"/>
    </row>
    <row r="118" spans="2:16" ht="15" customHeight="1" thickBot="1" x14ac:dyDescent="0.25">
      <c r="B118" s="206" t="s">
        <v>430</v>
      </c>
      <c r="C118" s="207"/>
      <c r="D118" s="207"/>
      <c r="E118" s="207"/>
      <c r="F118" s="207"/>
      <c r="G118" s="208"/>
    </row>
    <row r="119" spans="2:16" ht="66.75" hidden="1" customHeight="1" thickBot="1" x14ac:dyDescent="0.25">
      <c r="B119" s="412" t="s">
        <v>425</v>
      </c>
      <c r="C119" s="295"/>
      <c r="D119" s="295" t="s">
        <v>32</v>
      </c>
      <c r="E119" s="295" t="s">
        <v>33</v>
      </c>
      <c r="F119" s="295" t="s">
        <v>34</v>
      </c>
      <c r="G119" s="295" t="s">
        <v>35</v>
      </c>
      <c r="I119" s="449" t="s">
        <v>58</v>
      </c>
      <c r="J119" s="450"/>
      <c r="K119" s="450"/>
      <c r="L119" s="450"/>
      <c r="M119" s="450"/>
      <c r="N119" s="450"/>
      <c r="O119" s="451"/>
    </row>
    <row r="120" spans="2:16" ht="15" hidden="1" customHeight="1" thickBot="1" x14ac:dyDescent="0.25">
      <c r="B120" s="18" t="s">
        <v>62</v>
      </c>
      <c r="C120" s="33"/>
      <c r="D120" s="74" t="s">
        <v>36</v>
      </c>
      <c r="E120" s="32" t="e">
        <f>G120/F120</f>
        <v>#DIV/0!</v>
      </c>
      <c r="F120" s="33">
        <f>F109</f>
        <v>0</v>
      </c>
      <c r="G120" s="48">
        <f>((4+1)*F120*0.025)/(2*4*12)</f>
        <v>0</v>
      </c>
      <c r="I120" s="449" t="s">
        <v>105</v>
      </c>
      <c r="J120" s="450"/>
      <c r="K120" s="450"/>
      <c r="L120" s="450"/>
      <c r="M120" s="450"/>
      <c r="N120" s="450"/>
      <c r="O120" s="451"/>
    </row>
    <row r="121" spans="2:16" ht="15" hidden="1" customHeight="1" thickBot="1" x14ac:dyDescent="0.25">
      <c r="B121" s="18" t="s">
        <v>59</v>
      </c>
      <c r="C121" s="33"/>
      <c r="D121" s="74" t="s">
        <v>36</v>
      </c>
      <c r="E121" s="32" t="e">
        <f>G121/F121</f>
        <v>#DIV/0!</v>
      </c>
      <c r="F121" s="33">
        <f>F120</f>
        <v>0</v>
      </c>
      <c r="G121" s="48">
        <f>F121*4%/12</f>
        <v>0</v>
      </c>
      <c r="I121" s="452" t="s">
        <v>53</v>
      </c>
      <c r="J121" s="453"/>
      <c r="K121" s="453"/>
      <c r="L121" s="453"/>
      <c r="M121" s="453"/>
      <c r="N121" s="453"/>
      <c r="O121" s="454"/>
    </row>
    <row r="122" spans="2:16" ht="15" hidden="1" customHeight="1" thickBot="1" x14ac:dyDescent="0.3">
      <c r="B122" s="18" t="s">
        <v>37</v>
      </c>
      <c r="C122" s="33"/>
      <c r="D122" s="74" t="s">
        <v>36</v>
      </c>
      <c r="E122" s="30" t="e">
        <f>G122/F122</f>
        <v>#DIV/0!</v>
      </c>
      <c r="F122" s="34">
        <f>F120</f>
        <v>0</v>
      </c>
      <c r="G122" s="31">
        <f>((((4+1)*F120)/(2*4))*0.06)/12</f>
        <v>0</v>
      </c>
      <c r="I122" s="449" t="s">
        <v>52</v>
      </c>
      <c r="J122" s="450"/>
      <c r="K122" s="450"/>
      <c r="L122" s="450"/>
      <c r="M122" s="450"/>
      <c r="N122" s="450"/>
      <c r="O122" s="451"/>
    </row>
    <row r="123" spans="2:16" ht="15" hidden="1" customHeight="1" thickBot="1" x14ac:dyDescent="0.3">
      <c r="B123" s="18" t="s">
        <v>38</v>
      </c>
      <c r="C123" s="33"/>
      <c r="D123" s="74" t="s">
        <v>36</v>
      </c>
      <c r="E123" s="30" t="e">
        <f t="shared" ref="E123" si="16">G123/F123</f>
        <v>#DIV/0!</v>
      </c>
      <c r="F123" s="34">
        <f>F122</f>
        <v>0</v>
      </c>
      <c r="G123" s="31">
        <f>((((1-0.2/100)/4))*F123)/24</f>
        <v>0</v>
      </c>
      <c r="I123" s="449" t="s">
        <v>57</v>
      </c>
      <c r="J123" s="450"/>
      <c r="K123" s="450"/>
      <c r="L123" s="450"/>
      <c r="M123" s="450"/>
      <c r="N123" s="450"/>
      <c r="O123" s="451"/>
    </row>
    <row r="124" spans="2:16" ht="15" hidden="1" customHeight="1" thickBot="1" x14ac:dyDescent="0.3">
      <c r="B124" s="18"/>
      <c r="C124" s="33"/>
      <c r="D124" s="74"/>
      <c r="E124" s="32"/>
      <c r="F124" s="33"/>
      <c r="G124" s="31"/>
      <c r="I124" s="446" t="s">
        <v>60</v>
      </c>
      <c r="J124" s="447"/>
      <c r="K124" s="447"/>
      <c r="L124" s="447"/>
      <c r="M124" s="447"/>
      <c r="N124" s="447"/>
      <c r="O124" s="448"/>
    </row>
    <row r="125" spans="2:16" ht="15" hidden="1" customHeight="1" thickBot="1" x14ac:dyDescent="0.3">
      <c r="B125" s="18"/>
      <c r="C125" s="33"/>
      <c r="D125" s="74"/>
      <c r="E125" s="32"/>
      <c r="F125" s="33"/>
      <c r="G125" s="31"/>
      <c r="I125" s="598" t="s">
        <v>61</v>
      </c>
      <c r="J125" s="599"/>
      <c r="K125" s="599"/>
      <c r="L125" s="599"/>
      <c r="M125" s="599"/>
      <c r="N125" s="599"/>
      <c r="O125" s="600"/>
    </row>
    <row r="126" spans="2:16" ht="15" hidden="1" customHeight="1" x14ac:dyDescent="0.25">
      <c r="C126" s="27"/>
      <c r="D126" s="27"/>
      <c r="E126" s="27"/>
      <c r="F126" s="27"/>
      <c r="G126" s="391">
        <f>SUM(G120:G125)</f>
        <v>0</v>
      </c>
      <c r="N126" s="27"/>
    </row>
    <row r="127" spans="2:16" ht="15" hidden="1" customHeight="1" x14ac:dyDescent="0.2">
      <c r="C127" s="27"/>
      <c r="D127" s="27"/>
      <c r="E127" s="27"/>
      <c r="F127" s="27"/>
      <c r="G127" s="27"/>
      <c r="N127" s="27"/>
    </row>
    <row r="128" spans="2:16" ht="15" hidden="1" customHeight="1" x14ac:dyDescent="0.25">
      <c r="B128" s="345" t="s">
        <v>316</v>
      </c>
      <c r="C128" s="27"/>
      <c r="D128" s="27"/>
      <c r="E128" s="27"/>
      <c r="F128" s="27"/>
      <c r="G128" s="414"/>
      <c r="N128" s="27"/>
    </row>
    <row r="129" spans="2:14" ht="15" hidden="1" customHeight="1" x14ac:dyDescent="0.25">
      <c r="B129" s="345" t="s">
        <v>247</v>
      </c>
      <c r="C129" s="27"/>
      <c r="D129" s="27"/>
      <c r="E129" s="27"/>
      <c r="F129" s="27"/>
      <c r="G129" s="414"/>
      <c r="N129" s="27"/>
    </row>
    <row r="130" spans="2:14" ht="15" customHeight="1" thickBot="1" x14ac:dyDescent="0.25">
      <c r="N130" s="27"/>
    </row>
    <row r="131" spans="2:14" ht="15" hidden="1" customHeight="1" thickBot="1" x14ac:dyDescent="0.3">
      <c r="B131" s="360" t="s">
        <v>195</v>
      </c>
      <c r="C131" s="361"/>
      <c r="D131" s="361"/>
      <c r="E131" s="361"/>
      <c r="F131" s="361"/>
      <c r="G131" s="362"/>
    </row>
    <row r="132" spans="2:14" ht="51.75" hidden="1" customHeight="1" x14ac:dyDescent="0.2">
      <c r="B132" s="295" t="s">
        <v>248</v>
      </c>
      <c r="C132" s="295" t="s">
        <v>79</v>
      </c>
      <c r="D132" s="295" t="s">
        <v>32</v>
      </c>
      <c r="E132" s="295" t="s">
        <v>33</v>
      </c>
      <c r="F132" s="295" t="s">
        <v>34</v>
      </c>
      <c r="G132" s="295" t="s">
        <v>35</v>
      </c>
    </row>
    <row r="133" spans="2:14" ht="15" hidden="1" customHeight="1" x14ac:dyDescent="0.2">
      <c r="B133" s="18" t="s">
        <v>62</v>
      </c>
      <c r="C133" s="33"/>
      <c r="D133" s="74" t="s">
        <v>36</v>
      </c>
      <c r="E133" s="32" t="e">
        <f>G133/F133</f>
        <v>#DIV/0!</v>
      </c>
      <c r="F133" s="33">
        <v>0</v>
      </c>
      <c r="G133" s="48">
        <f>((4+1)*F133*0.025)/(2*4*12)</f>
        <v>0</v>
      </c>
      <c r="H133" s="27"/>
    </row>
    <row r="134" spans="2:14" ht="15" hidden="1" customHeight="1" x14ac:dyDescent="0.2">
      <c r="B134" s="18" t="s">
        <v>59</v>
      </c>
      <c r="C134" s="33"/>
      <c r="D134" s="74" t="s">
        <v>36</v>
      </c>
      <c r="E134" s="32" t="e">
        <f>G134/F134</f>
        <v>#DIV/0!</v>
      </c>
      <c r="F134" s="33">
        <f>F133</f>
        <v>0</v>
      </c>
      <c r="G134" s="48">
        <f>F134*4%/12</f>
        <v>0</v>
      </c>
      <c r="H134" s="27"/>
    </row>
    <row r="135" spans="2:14" ht="15" hidden="1" customHeight="1" x14ac:dyDescent="0.25">
      <c r="B135" s="18" t="s">
        <v>37</v>
      </c>
      <c r="C135" s="33"/>
      <c r="D135" s="74" t="s">
        <v>36</v>
      </c>
      <c r="E135" s="30" t="e">
        <f>G135/F135</f>
        <v>#DIV/0!</v>
      </c>
      <c r="F135" s="34">
        <f>F133</f>
        <v>0</v>
      </c>
      <c r="G135" s="31">
        <f>((((4+1)*F133)/(2*4))*0.06)/12</f>
        <v>0</v>
      </c>
      <c r="H135" s="27"/>
    </row>
    <row r="136" spans="2:14" ht="15" hidden="1" customHeight="1" x14ac:dyDescent="0.25">
      <c r="B136" s="18" t="s">
        <v>38</v>
      </c>
      <c r="C136" s="33"/>
      <c r="D136" s="74" t="s">
        <v>36</v>
      </c>
      <c r="E136" s="30" t="e">
        <f t="shared" ref="E136:E137" si="17">G136/F136</f>
        <v>#DIV/0!</v>
      </c>
      <c r="F136" s="34">
        <f>F135</f>
        <v>0</v>
      </c>
      <c r="G136" s="31">
        <f>((((1-0.2/100)/4))*F136)/12</f>
        <v>0</v>
      </c>
      <c r="H136" s="27"/>
    </row>
    <row r="137" spans="2:14" ht="15" hidden="1" customHeight="1" x14ac:dyDescent="0.25">
      <c r="B137" s="18" t="s">
        <v>39</v>
      </c>
      <c r="C137" s="33"/>
      <c r="D137" s="74" t="s">
        <v>36</v>
      </c>
      <c r="E137" s="32" t="e">
        <f t="shared" si="17"/>
        <v>#DIV/0!</v>
      </c>
      <c r="F137" s="33">
        <f>F133</f>
        <v>0</v>
      </c>
      <c r="G137" s="31">
        <f>0.9*F137/48</f>
        <v>0</v>
      </c>
      <c r="H137" s="27"/>
      <c r="I137" s="50"/>
    </row>
    <row r="138" spans="2:14" ht="15" hidden="1" customHeight="1" x14ac:dyDescent="0.25">
      <c r="B138" s="18" t="s">
        <v>40</v>
      </c>
      <c r="C138" s="33"/>
      <c r="D138" s="74" t="s">
        <v>36</v>
      </c>
      <c r="E138" s="32">
        <v>5.0000000000000001E-3</v>
      </c>
      <c r="F138" s="33">
        <f>F133</f>
        <v>0</v>
      </c>
      <c r="G138" s="31">
        <f>F138*E138</f>
        <v>0</v>
      </c>
      <c r="H138" s="49"/>
    </row>
    <row r="139" spans="2:14" ht="15" hidden="1" customHeight="1" x14ac:dyDescent="0.25">
      <c r="B139" s="18" t="s">
        <v>198</v>
      </c>
      <c r="C139" s="33">
        <f>25*20</f>
        <v>500</v>
      </c>
      <c r="D139" s="74"/>
      <c r="E139" s="32"/>
      <c r="F139" s="33">
        <v>0</v>
      </c>
      <c r="G139" s="31">
        <f>C139*F139</f>
        <v>0</v>
      </c>
      <c r="H139" s="518"/>
    </row>
    <row r="140" spans="2:14" ht="15" hidden="1" customHeight="1" x14ac:dyDescent="0.2">
      <c r="B140" s="18" t="s">
        <v>41</v>
      </c>
      <c r="C140" s="33"/>
      <c r="D140" s="74" t="s">
        <v>36</v>
      </c>
      <c r="E140" s="32">
        <v>0.1</v>
      </c>
      <c r="F140" s="33">
        <v>0</v>
      </c>
      <c r="G140" s="48">
        <f t="shared" ref="G140" si="18">ROUND(E140*F140,2)</f>
        <v>0</v>
      </c>
      <c r="H140" s="27"/>
    </row>
    <row r="141" spans="2:14" ht="15" hidden="1" customHeight="1" x14ac:dyDescent="0.25">
      <c r="C141" s="27"/>
      <c r="D141" s="27"/>
      <c r="E141" s="27"/>
      <c r="F141" s="27"/>
      <c r="G141" s="391">
        <f>SUM(G133:G140)</f>
        <v>0</v>
      </c>
      <c r="H141" s="27"/>
    </row>
    <row r="142" spans="2:14" ht="15" hidden="1" customHeight="1" x14ac:dyDescent="0.2"/>
    <row r="143" spans="2:14" ht="109.5" hidden="1" customHeight="1" thickBot="1" x14ac:dyDescent="0.25"/>
    <row r="144" spans="2:14" s="40" customFormat="1" ht="41.25" customHeight="1" thickBot="1" x14ac:dyDescent="0.35">
      <c r="B144" s="415" t="s">
        <v>43</v>
      </c>
      <c r="C144" s="416"/>
      <c r="D144" s="416"/>
      <c r="E144" s="417"/>
      <c r="F144" s="418" t="s">
        <v>46</v>
      </c>
      <c r="G144" s="619"/>
      <c r="H144" s="619"/>
    </row>
    <row r="145" spans="2:8" ht="18.75" customHeight="1" x14ac:dyDescent="0.25">
      <c r="B145" s="41" t="s">
        <v>44</v>
      </c>
      <c r="C145" s="42"/>
      <c r="D145" s="42"/>
      <c r="E145" s="147"/>
      <c r="F145" s="419">
        <f>O56</f>
        <v>11209.720000000001</v>
      </c>
      <c r="G145" s="617"/>
      <c r="H145" s="617"/>
    </row>
    <row r="146" spans="2:8" ht="18.75" customHeight="1" x14ac:dyDescent="0.25">
      <c r="B146" s="43" t="s">
        <v>45</v>
      </c>
      <c r="C146" s="44"/>
      <c r="D146" s="44"/>
      <c r="E146" s="148"/>
      <c r="F146" s="420">
        <f>G67</f>
        <v>190</v>
      </c>
      <c r="G146" s="617"/>
      <c r="H146" s="617"/>
    </row>
    <row r="147" spans="2:8" ht="18.75" customHeight="1" x14ac:dyDescent="0.25">
      <c r="B147" s="43" t="s">
        <v>50</v>
      </c>
      <c r="C147" s="44"/>
      <c r="D147" s="44"/>
      <c r="E147" s="148"/>
      <c r="F147" s="420">
        <f>G91</f>
        <v>1402.0310332561</v>
      </c>
      <c r="G147" s="617"/>
      <c r="H147" s="617"/>
    </row>
    <row r="148" spans="2:8" ht="18.75" customHeight="1" thickBot="1" x14ac:dyDescent="0.3">
      <c r="B148" s="43" t="s">
        <v>51</v>
      </c>
      <c r="C148" s="44"/>
      <c r="D148" s="44"/>
      <c r="E148" s="148"/>
      <c r="F148" s="420">
        <f>G102</f>
        <v>116.89166666666667</v>
      </c>
      <c r="G148" s="617"/>
      <c r="H148" s="617"/>
    </row>
    <row r="149" spans="2:8" ht="18.75" hidden="1" customHeight="1" thickBot="1" x14ac:dyDescent="0.3">
      <c r="B149" s="45" t="s">
        <v>63</v>
      </c>
      <c r="C149" s="46"/>
      <c r="D149" s="46"/>
      <c r="E149" s="149"/>
      <c r="F149" s="421">
        <f>G115+G126+G141</f>
        <v>0</v>
      </c>
      <c r="G149" s="617"/>
      <c r="H149" s="617"/>
    </row>
    <row r="150" spans="2:8" ht="24" customHeight="1" thickBot="1" x14ac:dyDescent="0.3">
      <c r="B150" s="312" t="s">
        <v>94</v>
      </c>
      <c r="C150" s="143"/>
      <c r="D150" s="139"/>
      <c r="E150" s="140"/>
      <c r="F150" s="150">
        <f>SUM(F145:F149)</f>
        <v>12918.642699922768</v>
      </c>
      <c r="G150" s="618"/>
      <c r="H150" s="618"/>
    </row>
    <row r="151" spans="2:8" ht="24" customHeight="1" thickBot="1" x14ac:dyDescent="0.25">
      <c r="B151" s="145" t="s">
        <v>95</v>
      </c>
      <c r="C151" s="310"/>
      <c r="D151" s="310"/>
      <c r="E151" s="313"/>
      <c r="F151" s="314">
        <f>'CANTEIRO ADM LOCAL'!F52</f>
        <v>3312.7919999999999</v>
      </c>
    </row>
    <row r="152" spans="2:8" ht="24" customHeight="1" thickBot="1" x14ac:dyDescent="0.25">
      <c r="B152" s="613" t="s">
        <v>96</v>
      </c>
      <c r="C152" s="614"/>
      <c r="D152" s="614"/>
      <c r="E152" s="615"/>
      <c r="F152" s="146">
        <f>F151+F150</f>
        <v>16231.434699922767</v>
      </c>
      <c r="G152" s="135"/>
    </row>
    <row r="153" spans="2:8" ht="24" customHeight="1" thickBot="1" x14ac:dyDescent="0.25">
      <c r="B153" s="608" t="s">
        <v>269</v>
      </c>
      <c r="C153" s="609"/>
      <c r="D153" s="609"/>
      <c r="E153" s="435">
        <f>'BDI Agetop'!R36</f>
        <v>0.21990000000000001</v>
      </c>
      <c r="F153" s="210">
        <f>F152*E153</f>
        <v>3569.2924905130167</v>
      </c>
    </row>
    <row r="154" spans="2:8" ht="24" customHeight="1" thickBot="1" x14ac:dyDescent="0.25">
      <c r="B154" s="610" t="s">
        <v>97</v>
      </c>
      <c r="C154" s="611"/>
      <c r="D154" s="611"/>
      <c r="E154" s="612"/>
      <c r="F154" s="209">
        <f>F153+F152</f>
        <v>19800.727190435784</v>
      </c>
    </row>
    <row r="155" spans="2:8" ht="20.100000000000001" customHeight="1" x14ac:dyDescent="0.2">
      <c r="G155" s="135"/>
    </row>
    <row r="156" spans="2:8" ht="20.100000000000001" customHeight="1" x14ac:dyDescent="0.2"/>
    <row r="157" spans="2:8" s="330" customFormat="1" ht="20.100000000000001" customHeight="1" x14ac:dyDescent="0.25">
      <c r="B157" s="330" t="str">
        <f>'Orçamento Geral '!A22</f>
        <v>Heitorai, 05/2021</v>
      </c>
    </row>
    <row r="158" spans="2:8" ht="20.100000000000001" customHeight="1" x14ac:dyDescent="0.2"/>
    <row r="159" spans="2:8" ht="20.100000000000001" customHeight="1" x14ac:dyDescent="0.2"/>
    <row r="160" spans="2:8" ht="20.100000000000001" customHeight="1" x14ac:dyDescent="0.25">
      <c r="F160" s="474"/>
    </row>
    <row r="161" spans="6:6" ht="20.100000000000001" customHeight="1" x14ac:dyDescent="0.25">
      <c r="F161" s="474"/>
    </row>
    <row r="162" spans="6:6" ht="20.100000000000001" customHeight="1" x14ac:dyDescent="0.2"/>
    <row r="163" spans="6:6" ht="20.100000000000001" customHeight="1" x14ac:dyDescent="0.2"/>
    <row r="164" spans="6:6" ht="20.100000000000001" customHeight="1" x14ac:dyDescent="0.2"/>
    <row r="165" spans="6:6" ht="20.100000000000001" customHeight="1" x14ac:dyDescent="0.2"/>
    <row r="166" spans="6:6" ht="20.100000000000001" customHeight="1" x14ac:dyDescent="0.2"/>
    <row r="167" spans="6:6" ht="20.100000000000001" customHeight="1" x14ac:dyDescent="0.2"/>
    <row r="168" spans="6:6" ht="20.100000000000001" customHeight="1" x14ac:dyDescent="0.2"/>
    <row r="169" spans="6:6" ht="20.100000000000001" customHeight="1" x14ac:dyDescent="0.2"/>
    <row r="170" spans="6:6" ht="20.100000000000001" customHeight="1" x14ac:dyDescent="0.2"/>
    <row r="171" spans="6:6" ht="20.100000000000001" customHeight="1" x14ac:dyDescent="0.2"/>
    <row r="172" spans="6:6" ht="20.100000000000001" customHeight="1" x14ac:dyDescent="0.2"/>
    <row r="173" spans="6:6" ht="20.100000000000001" customHeight="1" x14ac:dyDescent="0.2"/>
    <row r="174" spans="6:6" ht="20.100000000000001" customHeight="1" x14ac:dyDescent="0.2"/>
    <row r="175" spans="6:6" ht="20.100000000000001" customHeight="1" x14ac:dyDescent="0.2"/>
    <row r="176" spans="6: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  <row r="299" ht="20.100000000000001" customHeight="1" x14ac:dyDescent="0.2"/>
    <row r="300" ht="20.100000000000001" customHeight="1" x14ac:dyDescent="0.2"/>
    <row r="301" ht="20.100000000000001" customHeight="1" x14ac:dyDescent="0.2"/>
    <row r="302" ht="20.100000000000001" customHeight="1" x14ac:dyDescent="0.2"/>
    <row r="303" ht="20.100000000000001" customHeight="1" x14ac:dyDescent="0.2"/>
    <row r="304" ht="20.100000000000001" customHeight="1" x14ac:dyDescent="0.2"/>
    <row r="305" ht="20.100000000000001" customHeight="1" x14ac:dyDescent="0.2"/>
    <row r="306" ht="20.100000000000001" customHeight="1" x14ac:dyDescent="0.2"/>
    <row r="307" ht="20.100000000000001" customHeight="1" x14ac:dyDescent="0.2"/>
    <row r="308" ht="20.100000000000001" customHeight="1" x14ac:dyDescent="0.2"/>
    <row r="309" ht="20.100000000000001" customHeight="1" x14ac:dyDescent="0.2"/>
    <row r="310" ht="20.100000000000001" customHeight="1" x14ac:dyDescent="0.2"/>
    <row r="311" ht="20.100000000000001" customHeight="1" x14ac:dyDescent="0.2"/>
    <row r="312" ht="20.100000000000001" customHeight="1" x14ac:dyDescent="0.2"/>
    <row r="313" ht="20.100000000000001" customHeight="1" x14ac:dyDescent="0.2"/>
    <row r="314" ht="20.100000000000001" customHeight="1" x14ac:dyDescent="0.2"/>
    <row r="315" ht="20.100000000000001" customHeight="1" x14ac:dyDescent="0.2"/>
    <row r="316" ht="20.100000000000001" customHeight="1" x14ac:dyDescent="0.2"/>
    <row r="317" ht="20.100000000000001" customHeight="1" x14ac:dyDescent="0.2"/>
    <row r="318" ht="20.100000000000001" customHeight="1" x14ac:dyDescent="0.2"/>
    <row r="319" ht="20.100000000000001" customHeight="1" x14ac:dyDescent="0.2"/>
    <row r="320" ht="20.100000000000001" customHeight="1" x14ac:dyDescent="0.2"/>
    <row r="321" ht="20.100000000000001" customHeight="1" x14ac:dyDescent="0.2"/>
    <row r="322" ht="20.100000000000001" customHeight="1" x14ac:dyDescent="0.2"/>
    <row r="323" ht="20.100000000000001" customHeight="1" x14ac:dyDescent="0.2"/>
    <row r="324" ht="20.100000000000001" customHeight="1" x14ac:dyDescent="0.2"/>
    <row r="325" ht="20.100000000000001" customHeight="1" x14ac:dyDescent="0.2"/>
    <row r="326" ht="20.100000000000001" customHeight="1" x14ac:dyDescent="0.2"/>
    <row r="327" ht="20.100000000000001" customHeight="1" x14ac:dyDescent="0.2"/>
    <row r="328" ht="20.100000000000001" customHeight="1" x14ac:dyDescent="0.2"/>
    <row r="329" ht="20.100000000000001" customHeight="1" x14ac:dyDescent="0.2"/>
    <row r="330" ht="20.100000000000001" customHeight="1" x14ac:dyDescent="0.2"/>
    <row r="331" ht="20.100000000000001" customHeight="1" x14ac:dyDescent="0.2"/>
    <row r="332" ht="20.100000000000001" customHeight="1" x14ac:dyDescent="0.2"/>
    <row r="333" ht="20.100000000000001" customHeight="1" x14ac:dyDescent="0.2"/>
    <row r="334" ht="20.100000000000001" customHeight="1" x14ac:dyDescent="0.2"/>
    <row r="335" ht="20.100000000000001" customHeight="1" x14ac:dyDescent="0.2"/>
    <row r="336" ht="20.100000000000001" customHeight="1" x14ac:dyDescent="0.2"/>
    <row r="337" ht="20.100000000000001" customHeight="1" x14ac:dyDescent="0.2"/>
    <row r="338" ht="20.100000000000001" customHeight="1" x14ac:dyDescent="0.2"/>
    <row r="339" ht="20.100000000000001" customHeight="1" x14ac:dyDescent="0.2"/>
    <row r="340" ht="20.100000000000001" customHeight="1" x14ac:dyDescent="0.2"/>
    <row r="341" ht="20.100000000000001" customHeight="1" x14ac:dyDescent="0.2"/>
    <row r="342" ht="20.100000000000001" customHeight="1" x14ac:dyDescent="0.2"/>
    <row r="343" ht="20.100000000000001" customHeight="1" x14ac:dyDescent="0.2"/>
    <row r="344" ht="20.100000000000001" customHeight="1" x14ac:dyDescent="0.2"/>
    <row r="345" ht="20.100000000000001" customHeight="1" x14ac:dyDescent="0.2"/>
    <row r="346" ht="20.100000000000001" customHeight="1" x14ac:dyDescent="0.2"/>
    <row r="347" ht="20.100000000000001" customHeight="1" x14ac:dyDescent="0.2"/>
    <row r="348" ht="20.100000000000001" customHeight="1" x14ac:dyDescent="0.2"/>
    <row r="349" ht="20.100000000000001" customHeight="1" x14ac:dyDescent="0.2"/>
    <row r="350" ht="20.100000000000001" customHeight="1" x14ac:dyDescent="0.2"/>
    <row r="351" ht="20.100000000000001" customHeight="1" x14ac:dyDescent="0.2"/>
    <row r="352" ht="20.100000000000001" customHeight="1" x14ac:dyDescent="0.2"/>
    <row r="353" ht="20.100000000000001" customHeight="1" x14ac:dyDescent="0.2"/>
    <row r="354" ht="20.100000000000001" customHeight="1" x14ac:dyDescent="0.2"/>
    <row r="355" ht="20.100000000000001" customHeight="1" x14ac:dyDescent="0.2"/>
    <row r="356" ht="20.100000000000001" customHeight="1" x14ac:dyDescent="0.2"/>
    <row r="357" ht="20.100000000000001" customHeight="1" x14ac:dyDescent="0.2"/>
    <row r="358" ht="20.100000000000001" customHeight="1" x14ac:dyDescent="0.2"/>
    <row r="359" ht="20.100000000000001" customHeight="1" x14ac:dyDescent="0.2"/>
    <row r="360" ht="20.100000000000001" customHeight="1" x14ac:dyDescent="0.2"/>
    <row r="361" ht="20.100000000000001" customHeight="1" x14ac:dyDescent="0.2"/>
    <row r="362" ht="20.100000000000001" customHeight="1" x14ac:dyDescent="0.2"/>
    <row r="363" ht="20.100000000000001" customHeight="1" x14ac:dyDescent="0.2"/>
    <row r="364" ht="20.100000000000001" customHeight="1" x14ac:dyDescent="0.2"/>
    <row r="365" ht="20.100000000000001" customHeight="1" x14ac:dyDescent="0.2"/>
    <row r="366" ht="20.100000000000001" customHeight="1" x14ac:dyDescent="0.2"/>
    <row r="367" ht="20.100000000000001" customHeight="1" x14ac:dyDescent="0.2"/>
    <row r="368" ht="20.100000000000001" customHeight="1" x14ac:dyDescent="0.2"/>
    <row r="369" ht="20.100000000000001" customHeight="1" x14ac:dyDescent="0.2"/>
    <row r="370" ht="20.100000000000001" customHeight="1" x14ac:dyDescent="0.2"/>
    <row r="371" ht="20.100000000000001" customHeight="1" x14ac:dyDescent="0.2"/>
    <row r="372" ht="20.100000000000001" customHeight="1" x14ac:dyDescent="0.2"/>
    <row r="373" ht="20.100000000000001" customHeight="1" x14ac:dyDescent="0.2"/>
    <row r="374" ht="20.100000000000001" customHeight="1" x14ac:dyDescent="0.2"/>
    <row r="375" ht="20.100000000000001" customHeight="1" x14ac:dyDescent="0.2"/>
    <row r="376" ht="20.100000000000001" customHeight="1" x14ac:dyDescent="0.2"/>
    <row r="377" ht="20.100000000000001" customHeight="1" x14ac:dyDescent="0.2"/>
    <row r="378" ht="20.100000000000001" customHeight="1" x14ac:dyDescent="0.2"/>
    <row r="379" ht="20.100000000000001" customHeight="1" x14ac:dyDescent="0.2"/>
    <row r="380" ht="20.100000000000001" customHeight="1" x14ac:dyDescent="0.2"/>
  </sheetData>
  <mergeCells count="43">
    <mergeCell ref="B153:D153"/>
    <mergeCell ref="B154:E154"/>
    <mergeCell ref="B152:E152"/>
    <mergeCell ref="B34:J34"/>
    <mergeCell ref="G149:H149"/>
    <mergeCell ref="G150:H150"/>
    <mergeCell ref="G148:H148"/>
    <mergeCell ref="G144:H144"/>
    <mergeCell ref="G145:H145"/>
    <mergeCell ref="G146:H146"/>
    <mergeCell ref="G147:H147"/>
    <mergeCell ref="B42:E42"/>
    <mergeCell ref="B44:E44"/>
    <mergeCell ref="B43:E43"/>
    <mergeCell ref="I125:O125"/>
    <mergeCell ref="H107:O107"/>
    <mergeCell ref="B47:O47"/>
    <mergeCell ref="B49:O49"/>
    <mergeCell ref="B45:E45"/>
    <mergeCell ref="I108:O108"/>
    <mergeCell ref="I109:O109"/>
    <mergeCell ref="B57:O57"/>
    <mergeCell ref="I110:O110"/>
    <mergeCell ref="I111:O111"/>
    <mergeCell ref="I112:O112"/>
    <mergeCell ref="I113:O113"/>
    <mergeCell ref="I114:O114"/>
    <mergeCell ref="B9:O10"/>
    <mergeCell ref="B11:O11"/>
    <mergeCell ref="B38:B39"/>
    <mergeCell ref="C15:O15"/>
    <mergeCell ref="C14:O14"/>
    <mergeCell ref="C13:O13"/>
    <mergeCell ref="B20:G20"/>
    <mergeCell ref="B21:E21"/>
    <mergeCell ref="B22:E22"/>
    <mergeCell ref="B23:G23"/>
    <mergeCell ref="B36:E36"/>
    <mergeCell ref="B35:E35"/>
    <mergeCell ref="C38:C39"/>
    <mergeCell ref="D38:D39"/>
    <mergeCell ref="E38:E39"/>
    <mergeCell ref="B31:O31"/>
  </mergeCells>
  <phoneticPr fontId="6" type="noConversion"/>
  <printOptions horizontalCentered="1"/>
  <pageMargins left="0.47244094488188981" right="0.19685039370078741" top="0.47244094488188981" bottom="0.51181102362204722" header="0.51181102362204722" footer="0.70866141732283472"/>
  <pageSetup paperSize="9" scale="72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8:Z114"/>
  <sheetViews>
    <sheetView topLeftCell="H87" zoomScale="84" zoomScaleNormal="84" workbookViewId="0">
      <selection activeCell="B107" sqref="B107"/>
    </sheetView>
  </sheetViews>
  <sheetFormatPr defaultColWidth="9.140625" defaultRowHeight="12.75" x14ac:dyDescent="0.2"/>
  <cols>
    <col min="1" max="1" width="9.140625" style="8"/>
    <col min="2" max="2" width="34.28515625" style="8" customWidth="1"/>
    <col min="3" max="3" width="12.7109375" style="22" customWidth="1"/>
    <col min="4" max="4" width="13.5703125" style="119" customWidth="1"/>
    <col min="5" max="5" width="14.5703125" style="22" customWidth="1"/>
    <col min="6" max="6" width="11.28515625" style="110" customWidth="1"/>
    <col min="7" max="7" width="18.5703125" style="22" customWidth="1"/>
    <col min="8" max="8" width="14.7109375" style="22" customWidth="1"/>
    <col min="9" max="9" width="15.140625" style="8" customWidth="1"/>
    <col min="10" max="10" width="13.28515625" style="22" customWidth="1"/>
    <col min="11" max="11" width="12.140625" style="22" customWidth="1"/>
    <col min="12" max="12" width="11.140625" style="8" customWidth="1"/>
    <col min="13" max="13" width="10.140625" style="8" customWidth="1"/>
    <col min="14" max="14" width="11.42578125" style="8" customWidth="1"/>
    <col min="15" max="15" width="12.42578125" style="8" bestFit="1" customWidth="1"/>
    <col min="16" max="16" width="12.7109375" style="8" bestFit="1" customWidth="1"/>
    <col min="17" max="19" width="9.140625" style="8"/>
    <col min="20" max="21" width="10.7109375" style="8" bestFit="1" customWidth="1"/>
    <col min="22" max="16384" width="9.140625" style="8"/>
  </cols>
  <sheetData>
    <row r="8" spans="2:14" ht="35.25" customHeight="1" thickBot="1" x14ac:dyDescent="0.25"/>
    <row r="9" spans="2:14" ht="21" customHeight="1" x14ac:dyDescent="0.2">
      <c r="B9" s="627" t="s">
        <v>7</v>
      </c>
      <c r="C9" s="628"/>
      <c r="D9" s="628"/>
      <c r="E9" s="628"/>
      <c r="F9" s="628"/>
      <c r="G9" s="628"/>
      <c r="H9" s="628"/>
      <c r="I9" s="628"/>
      <c r="J9" s="628"/>
      <c r="K9" s="628"/>
      <c r="L9" s="628"/>
      <c r="M9" s="628"/>
      <c r="N9" s="629"/>
    </row>
    <row r="10" spans="2:14" ht="5.25" customHeight="1" thickBot="1" x14ac:dyDescent="0.25">
      <c r="B10" s="630"/>
      <c r="C10" s="631"/>
      <c r="D10" s="631"/>
      <c r="E10" s="631"/>
      <c r="F10" s="631"/>
      <c r="G10" s="631"/>
      <c r="H10" s="631"/>
      <c r="I10" s="631"/>
      <c r="J10" s="631"/>
      <c r="K10" s="631"/>
      <c r="L10" s="631"/>
      <c r="M10" s="631"/>
      <c r="N10" s="632"/>
    </row>
    <row r="11" spans="2:14" ht="32.25" customHeight="1" thickBot="1" x14ac:dyDescent="0.25">
      <c r="B11" s="563" t="s">
        <v>70</v>
      </c>
      <c r="C11" s="564"/>
      <c r="D11" s="564"/>
      <c r="E11" s="564"/>
      <c r="F11" s="564"/>
      <c r="G11" s="564"/>
      <c r="H11" s="564"/>
      <c r="I11" s="564"/>
      <c r="J11" s="564"/>
      <c r="K11" s="564"/>
      <c r="L11" s="564"/>
      <c r="M11" s="564"/>
      <c r="N11" s="565"/>
    </row>
    <row r="13" spans="2:14" ht="15" customHeight="1" x14ac:dyDescent="0.2">
      <c r="B13" s="23"/>
      <c r="J13" s="8"/>
      <c r="K13" s="8"/>
    </row>
    <row r="14" spans="2:14" ht="15" hidden="1" customHeight="1" x14ac:dyDescent="0.2">
      <c r="B14" s="23" t="s">
        <v>204</v>
      </c>
      <c r="C14" s="22">
        <f>J68/1000</f>
        <v>0</v>
      </c>
      <c r="D14" s="119" t="s">
        <v>205</v>
      </c>
      <c r="E14" s="27" t="s">
        <v>251</v>
      </c>
      <c r="J14" s="8"/>
      <c r="K14" s="8"/>
    </row>
    <row r="15" spans="2:14" ht="15" hidden="1" customHeight="1" x14ac:dyDescent="0.2">
      <c r="B15" s="23" t="s">
        <v>206</v>
      </c>
      <c r="C15" s="22">
        <f>L68/1000</f>
        <v>0</v>
      </c>
      <c r="D15" s="119" t="s">
        <v>205</v>
      </c>
      <c r="J15" s="8"/>
      <c r="K15" s="8"/>
    </row>
    <row r="16" spans="2:14" ht="15" hidden="1" customHeight="1" x14ac:dyDescent="0.2">
      <c r="B16" s="23"/>
      <c r="J16" s="8"/>
      <c r="K16" s="8"/>
    </row>
    <row r="17" spans="2:11" ht="15" customHeight="1" x14ac:dyDescent="0.2">
      <c r="B17" s="23"/>
      <c r="G17" s="351">
        <v>4.2859999999999996</v>
      </c>
      <c r="J17" s="8"/>
      <c r="K17" s="8"/>
    </row>
    <row r="18" spans="2:11" ht="84.6" customHeight="1" x14ac:dyDescent="0.2">
      <c r="B18" s="340" t="s">
        <v>252</v>
      </c>
      <c r="C18" s="341" t="s">
        <v>234</v>
      </c>
      <c r="D18" s="341" t="s">
        <v>253</v>
      </c>
      <c r="E18" s="341" t="s">
        <v>259</v>
      </c>
      <c r="F18" s="352" t="s">
        <v>260</v>
      </c>
      <c r="G18" s="341" t="s">
        <v>232</v>
      </c>
      <c r="H18" s="341" t="s">
        <v>257</v>
      </c>
      <c r="I18" s="341" t="s">
        <v>258</v>
      </c>
      <c r="J18" s="8"/>
      <c r="K18" s="8"/>
    </row>
    <row r="19" spans="2:11" ht="25.15" hidden="1" customHeight="1" x14ac:dyDescent="0.3">
      <c r="B19" s="329"/>
      <c r="C19" s="331"/>
      <c r="D19" s="331"/>
      <c r="E19" s="476"/>
      <c r="F19" s="334">
        <f t="shared" ref="F19:F25" si="0">D19*E19</f>
        <v>0</v>
      </c>
      <c r="G19" s="333">
        <f t="shared" ref="G19:G25" si="1">F19*$G$17</f>
        <v>0</v>
      </c>
      <c r="H19" s="333"/>
      <c r="I19" s="333"/>
      <c r="J19" s="8"/>
      <c r="K19" s="8"/>
    </row>
    <row r="20" spans="2:11" ht="30" hidden="1" customHeight="1" x14ac:dyDescent="0.3">
      <c r="B20" s="329"/>
      <c r="C20" s="331"/>
      <c r="D20" s="331"/>
      <c r="E20" s="476"/>
      <c r="F20" s="334">
        <f t="shared" si="0"/>
        <v>0</v>
      </c>
      <c r="G20" s="333">
        <f t="shared" si="1"/>
        <v>0</v>
      </c>
      <c r="H20" s="333"/>
      <c r="I20" s="333"/>
      <c r="J20" s="8"/>
      <c r="K20" s="8"/>
    </row>
    <row r="21" spans="2:11" ht="21.6" hidden="1" customHeight="1" x14ac:dyDescent="0.3">
      <c r="B21" s="329"/>
      <c r="C21" s="331"/>
      <c r="D21" s="331"/>
      <c r="E21" s="476"/>
      <c r="F21" s="334">
        <f t="shared" si="0"/>
        <v>0</v>
      </c>
      <c r="G21" s="333">
        <f t="shared" si="1"/>
        <v>0</v>
      </c>
      <c r="H21" s="333"/>
      <c r="I21" s="333"/>
      <c r="J21" s="8"/>
      <c r="K21" s="8"/>
    </row>
    <row r="22" spans="2:11" ht="19.899999999999999" hidden="1" customHeight="1" x14ac:dyDescent="0.3">
      <c r="B22" s="329"/>
      <c r="C22" s="331"/>
      <c r="D22" s="331"/>
      <c r="E22" s="476"/>
      <c r="F22" s="334">
        <f t="shared" si="0"/>
        <v>0</v>
      </c>
      <c r="G22" s="333">
        <f t="shared" si="1"/>
        <v>0</v>
      </c>
      <c r="H22" s="333"/>
      <c r="I22" s="333"/>
      <c r="J22" s="8"/>
      <c r="K22" s="8"/>
    </row>
    <row r="23" spans="2:11" ht="33.75" hidden="1" customHeight="1" x14ac:dyDescent="0.3">
      <c r="B23" s="329"/>
      <c r="C23" s="331"/>
      <c r="D23" s="331"/>
      <c r="E23" s="476"/>
      <c r="F23" s="334">
        <f t="shared" si="0"/>
        <v>0</v>
      </c>
      <c r="G23" s="333">
        <f t="shared" si="1"/>
        <v>0</v>
      </c>
      <c r="H23" s="333"/>
      <c r="I23" s="333"/>
      <c r="J23" s="8"/>
      <c r="K23" s="8"/>
    </row>
    <row r="24" spans="2:11" ht="19.899999999999999" hidden="1" customHeight="1" x14ac:dyDescent="0.3">
      <c r="B24" s="329"/>
      <c r="C24" s="331"/>
      <c r="D24" s="331"/>
      <c r="E24" s="476"/>
      <c r="F24" s="334">
        <f t="shared" si="0"/>
        <v>0</v>
      </c>
      <c r="G24" s="333">
        <f t="shared" si="1"/>
        <v>0</v>
      </c>
      <c r="H24" s="333"/>
      <c r="I24" s="333"/>
      <c r="J24" s="8"/>
      <c r="K24" s="8"/>
    </row>
    <row r="25" spans="2:11" ht="30" hidden="1" customHeight="1" x14ac:dyDescent="0.3">
      <c r="B25" s="329"/>
      <c r="C25" s="331"/>
      <c r="D25" s="331"/>
      <c r="E25" s="476"/>
      <c r="F25" s="334">
        <f t="shared" si="0"/>
        <v>0</v>
      </c>
      <c r="G25" s="333">
        <f t="shared" si="1"/>
        <v>0</v>
      </c>
      <c r="H25" s="333"/>
      <c r="I25" s="333"/>
      <c r="J25" s="8"/>
      <c r="K25" s="8"/>
    </row>
    <row r="26" spans="2:11" ht="30" hidden="1" customHeight="1" x14ac:dyDescent="0.3">
      <c r="B26" s="336" t="s">
        <v>255</v>
      </c>
      <c r="C26" s="337">
        <f>SUM(C19:C25)</f>
        <v>0</v>
      </c>
      <c r="D26" s="337">
        <f>SUM(D19:D25)</f>
        <v>0</v>
      </c>
      <c r="E26" s="477"/>
      <c r="F26" s="339">
        <f>SUM(F19:F25)</f>
        <v>0</v>
      </c>
      <c r="G26" s="339">
        <f>SUM(G19:G25)</f>
        <v>0</v>
      </c>
      <c r="H26" s="339">
        <v>2.5</v>
      </c>
      <c r="I26" s="339">
        <f>ROUND(G26/(25.25*H26),0)</f>
        <v>0</v>
      </c>
      <c r="J26" s="8"/>
      <c r="K26" s="8"/>
    </row>
    <row r="27" spans="2:11" ht="26.45" customHeight="1" x14ac:dyDescent="0.3">
      <c r="B27" s="329" t="s">
        <v>315</v>
      </c>
      <c r="C27" s="331">
        <v>18.79</v>
      </c>
      <c r="D27" s="331">
        <f>C27*2</f>
        <v>37.58</v>
      </c>
      <c r="E27" s="476"/>
      <c r="F27" s="334">
        <f>D27*4</f>
        <v>150.32</v>
      </c>
      <c r="G27" s="333">
        <f>F27*$G$17</f>
        <v>644.2715199999999</v>
      </c>
      <c r="H27" s="333"/>
      <c r="I27" s="333"/>
      <c r="J27" s="8"/>
      <c r="K27" s="8"/>
    </row>
    <row r="28" spans="2:11" ht="24" customHeight="1" x14ac:dyDescent="0.25">
      <c r="B28" s="336" t="s">
        <v>254</v>
      </c>
      <c r="C28" s="337">
        <f>C27</f>
        <v>18.79</v>
      </c>
      <c r="D28" s="337">
        <f>D27</f>
        <v>37.58</v>
      </c>
      <c r="E28" s="338"/>
      <c r="F28" s="339">
        <f>F27</f>
        <v>150.32</v>
      </c>
      <c r="G28" s="339">
        <f>G27</f>
        <v>644.2715199999999</v>
      </c>
      <c r="H28" s="339">
        <v>2.5</v>
      </c>
      <c r="I28" s="339">
        <f>ROUND(G28/(25.25*H28),0)</f>
        <v>10</v>
      </c>
      <c r="J28" s="8"/>
      <c r="K28" s="8"/>
    </row>
    <row r="29" spans="2:11" ht="24.75" customHeight="1" x14ac:dyDescent="0.2">
      <c r="B29" s="23"/>
      <c r="H29" s="27"/>
      <c r="J29" s="8"/>
      <c r="K29" s="8"/>
    </row>
    <row r="30" spans="2:11" ht="28.9" customHeight="1" x14ac:dyDescent="0.25">
      <c r="B30" s="336" t="s">
        <v>256</v>
      </c>
      <c r="C30" s="422">
        <f t="shared" ref="C30:F30" si="2">C26+C28</f>
        <v>18.79</v>
      </c>
      <c r="D30" s="422">
        <f t="shared" si="2"/>
        <v>37.58</v>
      </c>
      <c r="E30" s="339"/>
      <c r="F30" s="339">
        <f t="shared" si="2"/>
        <v>150.32</v>
      </c>
      <c r="G30" s="339">
        <f>G26+G28</f>
        <v>644.2715199999999</v>
      </c>
      <c r="H30" s="339"/>
      <c r="I30" s="339">
        <f>I26+I28</f>
        <v>10</v>
      </c>
      <c r="J30" s="8"/>
      <c r="K30" s="8"/>
    </row>
    <row r="31" spans="2:11" ht="28.5" customHeight="1" x14ac:dyDescent="0.2">
      <c r="C31" s="8"/>
      <c r="D31" s="8"/>
      <c r="E31" s="8"/>
      <c r="F31" s="8"/>
      <c r="G31" s="8"/>
      <c r="J31" s="8"/>
      <c r="K31" s="8"/>
    </row>
    <row r="32" spans="2:11" ht="13.5" thickBot="1" x14ac:dyDescent="0.25"/>
    <row r="33" spans="2:26" s="5" customFormat="1" ht="18.75" thickBot="1" x14ac:dyDescent="0.3">
      <c r="B33" s="633" t="s">
        <v>71</v>
      </c>
      <c r="C33" s="634"/>
      <c r="D33" s="634"/>
      <c r="E33" s="634"/>
      <c r="F33" s="634"/>
      <c r="G33" s="634"/>
      <c r="H33" s="634"/>
      <c r="I33" s="634"/>
      <c r="J33" s="634"/>
      <c r="K33" s="634"/>
      <c r="L33" s="634"/>
      <c r="M33" s="635"/>
      <c r="N33" s="8"/>
      <c r="Z33" s="8"/>
    </row>
    <row r="34" spans="2:26" s="5" customFormat="1" ht="18.75" customHeight="1" thickBot="1" x14ac:dyDescent="0.25">
      <c r="B34" s="636" t="s">
        <v>314</v>
      </c>
      <c r="C34" s="637"/>
      <c r="D34" s="637"/>
      <c r="E34" s="637"/>
      <c r="F34" s="637"/>
      <c r="G34" s="637"/>
      <c r="H34" s="637"/>
      <c r="I34" s="637"/>
      <c r="J34" s="637"/>
      <c r="K34" s="637"/>
      <c r="L34" s="637"/>
      <c r="M34" s="638"/>
      <c r="N34" s="8"/>
    </row>
    <row r="35" spans="2:26" s="47" customFormat="1" ht="76.5" customHeight="1" x14ac:dyDescent="0.2">
      <c r="B35" s="444" t="s">
        <v>19</v>
      </c>
      <c r="C35" s="445" t="s">
        <v>20</v>
      </c>
      <c r="D35" s="444" t="s">
        <v>291</v>
      </c>
      <c r="E35" s="445" t="s">
        <v>108</v>
      </c>
      <c r="F35" s="103" t="s">
        <v>0</v>
      </c>
      <c r="G35" s="445" t="s">
        <v>166</v>
      </c>
      <c r="H35" s="104" t="s">
        <v>22</v>
      </c>
      <c r="I35" s="465" t="s">
        <v>273</v>
      </c>
      <c r="J35" s="444" t="s">
        <v>24</v>
      </c>
      <c r="K35" s="103" t="s">
        <v>25</v>
      </c>
      <c r="L35" s="444" t="s">
        <v>288</v>
      </c>
      <c r="M35" s="104" t="s">
        <v>26</v>
      </c>
      <c r="N35" s="8"/>
    </row>
    <row r="36" spans="2:26" s="5" customFormat="1" ht="18" x14ac:dyDescent="0.25">
      <c r="B36" s="51" t="s">
        <v>287</v>
      </c>
      <c r="C36" s="196">
        <v>0.4</v>
      </c>
      <c r="D36" s="459">
        <v>1179.92</v>
      </c>
      <c r="E36" s="33">
        <f>C36*D36</f>
        <v>471.96800000000007</v>
      </c>
      <c r="F36" s="75">
        <f>ROUND(SUM(D36:E36),2)</f>
        <v>1651.89</v>
      </c>
      <c r="G36" s="33">
        <f>ROUND(F36*75.89%,2)</f>
        <v>1253.6199999999999</v>
      </c>
      <c r="H36" s="52">
        <f>ROUND(F36+G36,2)</f>
        <v>2905.51</v>
      </c>
      <c r="I36" s="33">
        <f>22.321056*15.2</f>
        <v>339.28005119999995</v>
      </c>
      <c r="J36" s="257">
        <v>2.54</v>
      </c>
      <c r="K36" s="52">
        <f>ROUND(SUM(H36:J36),2)</f>
        <v>3247.33</v>
      </c>
      <c r="L36" s="466">
        <f>I30</f>
        <v>10</v>
      </c>
      <c r="M36" s="52">
        <f>K36*L36</f>
        <v>32473.3</v>
      </c>
      <c r="P36" s="460"/>
      <c r="Z36" s="297"/>
    </row>
    <row r="37" spans="2:26" s="5" customFormat="1" ht="18" x14ac:dyDescent="0.25">
      <c r="B37" s="51" t="s">
        <v>114</v>
      </c>
      <c r="C37" s="196">
        <v>0.4</v>
      </c>
      <c r="D37" s="459">
        <f>D36</f>
        <v>1179.92</v>
      </c>
      <c r="E37" s="33">
        <f>C37*D37</f>
        <v>471.96800000000007</v>
      </c>
      <c r="F37" s="75">
        <f>ROUND(SUM(D37:E37),2)</f>
        <v>1651.89</v>
      </c>
      <c r="G37" s="33">
        <f>ROUND(F37*75.89%,2)</f>
        <v>1253.6199999999999</v>
      </c>
      <c r="H37" s="52">
        <f>ROUND(F37+G37,2)</f>
        <v>2905.51</v>
      </c>
      <c r="I37" s="33">
        <f>I36</f>
        <v>339.28005119999995</v>
      </c>
      <c r="J37" s="257">
        <f>J36</f>
        <v>2.54</v>
      </c>
      <c r="K37" s="52">
        <f>ROUND(SUM(H37:J37),2)</f>
        <v>3247.33</v>
      </c>
      <c r="L37" s="458">
        <v>2</v>
      </c>
      <c r="M37" s="52">
        <f>K37*L37</f>
        <v>6494.66</v>
      </c>
    </row>
    <row r="38" spans="2:26" s="321" customFormat="1" ht="18" x14ac:dyDescent="0.25">
      <c r="B38" s="468" t="s">
        <v>428</v>
      </c>
      <c r="C38" s="469">
        <v>0</v>
      </c>
      <c r="D38" s="459">
        <v>2627.3</v>
      </c>
      <c r="E38" s="470">
        <f>C38*D38</f>
        <v>0</v>
      </c>
      <c r="F38" s="75">
        <f>ROUND(SUM(D38:E38),2)</f>
        <v>2627.3</v>
      </c>
      <c r="G38" s="470">
        <f>ROUND(F38*75.89%,2)</f>
        <v>1993.86</v>
      </c>
      <c r="H38" s="471">
        <f t="shared" ref="H38" si="3">ROUND(F38+G38,2)</f>
        <v>4621.16</v>
      </c>
      <c r="I38" s="470">
        <f>I36</f>
        <v>339.28005119999995</v>
      </c>
      <c r="J38" s="472">
        <v>2.54</v>
      </c>
      <c r="K38" s="471">
        <f>ROUND(SUM(H38:J38),2)</f>
        <v>4962.9799999999996</v>
      </c>
      <c r="L38" s="458">
        <v>2</v>
      </c>
      <c r="M38" s="471">
        <f t="shared" ref="M38" si="4">K38*L38</f>
        <v>9925.9599999999991</v>
      </c>
      <c r="P38" s="503"/>
    </row>
    <row r="39" spans="2:26" s="5" customFormat="1" ht="18" x14ac:dyDescent="0.25">
      <c r="C39" s="27"/>
      <c r="D39" s="121">
        <f t="shared" ref="D39:H39" si="5">SUM(D36:D38)</f>
        <v>4987.1400000000003</v>
      </c>
      <c r="E39" s="53">
        <f t="shared" si="5"/>
        <v>943.93600000000015</v>
      </c>
      <c r="F39" s="101">
        <f t="shared" si="5"/>
        <v>5931.08</v>
      </c>
      <c r="G39" s="53">
        <f t="shared" si="5"/>
        <v>4501.0999999999995</v>
      </c>
      <c r="H39" s="53">
        <f t="shared" si="5"/>
        <v>10432.18</v>
      </c>
      <c r="I39" s="53"/>
      <c r="J39" s="53"/>
      <c r="K39" s="53">
        <f>SUM(K36:K38)</f>
        <v>11457.64</v>
      </c>
      <c r="L39" s="467">
        <f>SUM(L36:L38)</f>
        <v>14</v>
      </c>
      <c r="M39" s="53">
        <f>SUM(M36:M38)</f>
        <v>48893.919999999998</v>
      </c>
      <c r="O39" s="27"/>
    </row>
    <row r="40" spans="2:26" s="5" customFormat="1" ht="15.75" x14ac:dyDescent="0.25">
      <c r="B40" s="511" t="s">
        <v>426</v>
      </c>
      <c r="C40" s="27"/>
      <c r="D40" s="122"/>
      <c r="E40" s="27"/>
      <c r="F40" s="111"/>
      <c r="G40" s="27"/>
      <c r="H40" s="27"/>
      <c r="J40" s="27"/>
      <c r="K40" s="27"/>
    </row>
    <row r="41" spans="2:26" s="5" customFormat="1" ht="13.5" thickBot="1" x14ac:dyDescent="0.25">
      <c r="C41" s="27"/>
      <c r="D41" s="122"/>
      <c r="E41" s="27"/>
      <c r="F41" s="111"/>
      <c r="G41" s="27"/>
      <c r="H41" s="8"/>
      <c r="I41" s="55"/>
      <c r="J41" s="29"/>
      <c r="K41" s="21"/>
      <c r="L41" s="8"/>
      <c r="M41" s="8"/>
      <c r="N41" s="8"/>
    </row>
    <row r="42" spans="2:26" s="5" customFormat="1" ht="19.5" thickBot="1" x14ac:dyDescent="0.35">
      <c r="B42" s="624" t="s">
        <v>102</v>
      </c>
      <c r="C42" s="625"/>
      <c r="D42" s="625"/>
      <c r="E42" s="625"/>
      <c r="F42" s="625"/>
      <c r="G42" s="626"/>
      <c r="H42" s="8"/>
      <c r="I42" s="55"/>
      <c r="J42" s="29"/>
      <c r="K42" s="21"/>
      <c r="M42" s="8"/>
      <c r="N42" s="8"/>
      <c r="O42" s="459">
        <v>1179.92</v>
      </c>
    </row>
    <row r="43" spans="2:26" s="5" customFormat="1" ht="25.5" x14ac:dyDescent="0.2">
      <c r="B43" s="96" t="s">
        <v>27</v>
      </c>
      <c r="C43" s="224" t="s">
        <v>28</v>
      </c>
      <c r="D43" s="224" t="s">
        <v>29</v>
      </c>
      <c r="E43" s="224" t="s">
        <v>121</v>
      </c>
      <c r="F43" s="224" t="s">
        <v>169</v>
      </c>
      <c r="G43" s="224" t="s">
        <v>30</v>
      </c>
      <c r="H43" s="8"/>
      <c r="I43" s="55"/>
      <c r="J43" s="29"/>
      <c r="K43" s="21"/>
      <c r="L43" s="8"/>
      <c r="M43" s="8"/>
      <c r="N43" s="8"/>
    </row>
    <row r="44" spans="2:26" s="5" customFormat="1" x14ac:dyDescent="0.2">
      <c r="B44" s="18" t="s">
        <v>122</v>
      </c>
      <c r="C44" s="98">
        <v>4</v>
      </c>
      <c r="D44" s="97">
        <v>40</v>
      </c>
      <c r="E44" s="102">
        <f>L39</f>
        <v>14</v>
      </c>
      <c r="F44" s="98">
        <f t="shared" ref="F44:F51" si="6">D44/12</f>
        <v>3.3333333333333335</v>
      </c>
      <c r="G44" s="26">
        <f t="shared" ref="G44:G51" si="7">E44*F44*C44</f>
        <v>186.66666666666669</v>
      </c>
      <c r="H44" s="8"/>
      <c r="I44" s="55"/>
      <c r="J44" s="29"/>
      <c r="K44" s="21"/>
      <c r="L44" s="8"/>
      <c r="M44" s="8"/>
      <c r="N44" s="8"/>
    </row>
    <row r="45" spans="2:26" s="5" customFormat="1" x14ac:dyDescent="0.2">
      <c r="B45" s="18" t="s">
        <v>109</v>
      </c>
      <c r="C45" s="98">
        <v>4</v>
      </c>
      <c r="D45" s="97">
        <v>35</v>
      </c>
      <c r="E45" s="102">
        <f>E44</f>
        <v>14</v>
      </c>
      <c r="F45" s="98">
        <f t="shared" si="6"/>
        <v>2.9166666666666665</v>
      </c>
      <c r="G45" s="26">
        <f t="shared" si="7"/>
        <v>163.33333333333331</v>
      </c>
      <c r="H45" s="8"/>
      <c r="I45" s="55"/>
      <c r="J45" s="29"/>
      <c r="K45" s="21"/>
      <c r="L45" s="8"/>
      <c r="M45" s="8"/>
      <c r="N45" s="8"/>
    </row>
    <row r="46" spans="2:26" s="5" customFormat="1" x14ac:dyDescent="0.2">
      <c r="B46" s="18" t="s">
        <v>110</v>
      </c>
      <c r="C46" s="98">
        <v>3</v>
      </c>
      <c r="D46" s="97">
        <v>18</v>
      </c>
      <c r="E46" s="102">
        <f>E44</f>
        <v>14</v>
      </c>
      <c r="F46" s="98">
        <f t="shared" si="6"/>
        <v>1.5</v>
      </c>
      <c r="G46" s="26">
        <f t="shared" si="7"/>
        <v>63</v>
      </c>
      <c r="H46" s="8"/>
      <c r="I46" s="55"/>
      <c r="J46" s="29"/>
      <c r="K46" s="21"/>
      <c r="L46" s="8"/>
      <c r="M46" s="8"/>
      <c r="N46" s="8"/>
    </row>
    <row r="47" spans="2:26" s="5" customFormat="1" x14ac:dyDescent="0.2">
      <c r="B47" s="18" t="s">
        <v>111</v>
      </c>
      <c r="C47" s="98">
        <v>3</v>
      </c>
      <c r="D47" s="97">
        <v>40</v>
      </c>
      <c r="E47" s="102">
        <f>L39</f>
        <v>14</v>
      </c>
      <c r="F47" s="98">
        <f t="shared" si="6"/>
        <v>3.3333333333333335</v>
      </c>
      <c r="G47" s="26">
        <f t="shared" si="7"/>
        <v>140</v>
      </c>
      <c r="H47" s="8"/>
      <c r="I47" s="55"/>
      <c r="J47" s="29"/>
      <c r="K47" s="21"/>
      <c r="L47" s="8"/>
      <c r="M47" s="8"/>
      <c r="N47" s="8"/>
    </row>
    <row r="48" spans="2:26" s="5" customFormat="1" x14ac:dyDescent="0.2">
      <c r="B48" s="18" t="s">
        <v>123</v>
      </c>
      <c r="C48" s="98">
        <v>1</v>
      </c>
      <c r="D48" s="97">
        <v>17</v>
      </c>
      <c r="E48" s="102">
        <f>L39</f>
        <v>14</v>
      </c>
      <c r="F48" s="98">
        <f t="shared" si="6"/>
        <v>1.4166666666666667</v>
      </c>
      <c r="G48" s="26">
        <f t="shared" si="7"/>
        <v>19.833333333333336</v>
      </c>
      <c r="H48" s="8"/>
      <c r="I48" s="55"/>
      <c r="J48" s="29"/>
      <c r="K48" s="21"/>
      <c r="L48" s="8"/>
      <c r="M48" s="8"/>
      <c r="N48" s="8"/>
    </row>
    <row r="49" spans="2:14" s="5" customFormat="1" x14ac:dyDescent="0.2">
      <c r="B49" s="18" t="s">
        <v>112</v>
      </c>
      <c r="C49" s="98">
        <v>12</v>
      </c>
      <c r="D49" s="97">
        <v>12</v>
      </c>
      <c r="E49" s="102">
        <f>(L36+L37)/3</f>
        <v>4</v>
      </c>
      <c r="F49" s="98">
        <f t="shared" si="6"/>
        <v>1</v>
      </c>
      <c r="G49" s="26">
        <f t="shared" si="7"/>
        <v>48</v>
      </c>
      <c r="H49" s="8"/>
      <c r="I49" s="55"/>
      <c r="J49" s="29"/>
      <c r="K49" s="21"/>
      <c r="L49" s="8"/>
      <c r="M49" s="8"/>
      <c r="N49" s="8"/>
    </row>
    <row r="50" spans="2:14" s="5" customFormat="1" x14ac:dyDescent="0.2">
      <c r="B50" s="18" t="s">
        <v>274</v>
      </c>
      <c r="C50" s="98">
        <v>6</v>
      </c>
      <c r="D50" s="97">
        <v>12.9</v>
      </c>
      <c r="E50" s="102">
        <f>E44</f>
        <v>14</v>
      </c>
      <c r="F50" s="98">
        <f t="shared" si="6"/>
        <v>1.075</v>
      </c>
      <c r="G50" s="26">
        <f t="shared" si="7"/>
        <v>90.3</v>
      </c>
      <c r="H50" s="8"/>
      <c r="I50" s="55"/>
      <c r="J50" s="29"/>
      <c r="K50" s="21"/>
      <c r="L50" s="8"/>
      <c r="M50" s="8"/>
      <c r="N50" s="8"/>
    </row>
    <row r="51" spans="2:14" s="5" customFormat="1" x14ac:dyDescent="0.2">
      <c r="B51" s="18" t="s">
        <v>124</v>
      </c>
      <c r="C51" s="98">
        <v>3</v>
      </c>
      <c r="D51" s="97">
        <v>12</v>
      </c>
      <c r="E51" s="102">
        <f>E44</f>
        <v>14</v>
      </c>
      <c r="F51" s="98">
        <f t="shared" si="6"/>
        <v>1</v>
      </c>
      <c r="G51" s="26">
        <f t="shared" si="7"/>
        <v>42</v>
      </c>
      <c r="H51" s="8"/>
      <c r="I51" s="55"/>
      <c r="J51" s="29"/>
      <c r="K51" s="21"/>
      <c r="L51" s="8"/>
      <c r="M51" s="8"/>
      <c r="N51" s="8"/>
    </row>
    <row r="52" spans="2:14" s="5" customFormat="1" ht="15" x14ac:dyDescent="0.25">
      <c r="B52" s="8"/>
      <c r="C52" s="22"/>
      <c r="D52" s="123"/>
      <c r="E52" s="22"/>
      <c r="F52" s="112"/>
      <c r="G52" s="25">
        <f t="shared" ref="G52" si="8">SUM(G44:G51)</f>
        <v>753.13333333333333</v>
      </c>
      <c r="H52" s="27"/>
      <c r="I52" s="55"/>
      <c r="J52" s="29"/>
      <c r="K52" s="21"/>
      <c r="L52" s="8"/>
      <c r="M52" s="8"/>
    </row>
    <row r="53" spans="2:14" s="5" customFormat="1" ht="19.149999999999999" customHeight="1" thickBot="1" x14ac:dyDescent="0.25">
      <c r="C53" s="27"/>
      <c r="D53" s="122"/>
      <c r="E53" s="27"/>
      <c r="F53" s="111"/>
      <c r="G53" s="27"/>
      <c r="H53" s="27"/>
      <c r="I53" s="55"/>
      <c r="J53" s="29"/>
      <c r="K53" s="21"/>
      <c r="L53" s="8"/>
      <c r="M53" s="8"/>
    </row>
    <row r="54" spans="2:14" s="5" customFormat="1" hidden="1" x14ac:dyDescent="0.2">
      <c r="C54" s="27"/>
      <c r="D54" s="122"/>
      <c r="E54" s="27"/>
      <c r="F54" s="111"/>
      <c r="G54" s="27"/>
      <c r="H54" s="27"/>
      <c r="I54" s="55"/>
      <c r="J54" s="29"/>
      <c r="K54" s="21"/>
      <c r="L54" s="8"/>
      <c r="M54" s="8"/>
    </row>
    <row r="55" spans="2:14" s="5" customFormat="1" ht="19.5" hidden="1" thickBot="1" x14ac:dyDescent="0.35">
      <c r="B55" s="624" t="s">
        <v>50</v>
      </c>
      <c r="C55" s="625"/>
      <c r="D55" s="625"/>
      <c r="E55" s="625"/>
      <c r="F55" s="625"/>
      <c r="G55" s="626"/>
      <c r="H55" s="27"/>
      <c r="I55" s="55"/>
      <c r="J55" s="29"/>
      <c r="K55" s="21"/>
      <c r="L55" s="8"/>
      <c r="M55" s="8"/>
    </row>
    <row r="56" spans="2:14" s="5" customFormat="1" ht="45" hidden="1" x14ac:dyDescent="0.2">
      <c r="B56" s="103" t="s">
        <v>200</v>
      </c>
      <c r="C56" s="96" t="s">
        <v>76</v>
      </c>
      <c r="D56" s="96" t="s">
        <v>74</v>
      </c>
      <c r="E56" s="96" t="s">
        <v>75</v>
      </c>
      <c r="F56" s="96"/>
      <c r="G56" s="96" t="s">
        <v>30</v>
      </c>
      <c r="H56" s="27"/>
      <c r="J56" s="27"/>
      <c r="K56" s="27"/>
    </row>
    <row r="57" spans="2:14" s="5" customFormat="1" ht="18.75" hidden="1" customHeight="1" x14ac:dyDescent="0.2">
      <c r="B57" s="213" t="s">
        <v>68</v>
      </c>
      <c r="C57" s="194">
        <f>35*25.25</f>
        <v>883.75</v>
      </c>
      <c r="D57" s="270">
        <v>0.06</v>
      </c>
      <c r="E57" s="194">
        <v>0</v>
      </c>
      <c r="F57" s="270"/>
      <c r="G57" s="195">
        <f>C57*D57*E57</f>
        <v>0</v>
      </c>
      <c r="H57" s="27"/>
      <c r="J57" s="27"/>
      <c r="K57" s="27"/>
    </row>
    <row r="58" spans="2:14" s="5" customFormat="1" ht="15" hidden="1" x14ac:dyDescent="0.2">
      <c r="B58" s="165"/>
      <c r="C58" s="166"/>
      <c r="D58" s="271"/>
      <c r="E58" s="166"/>
      <c r="F58" s="271"/>
      <c r="G58" s="193">
        <f>SUM(G57:G57)</f>
        <v>0</v>
      </c>
      <c r="H58" s="27"/>
      <c r="J58" s="27"/>
      <c r="K58" s="27"/>
    </row>
    <row r="59" spans="2:14" s="5" customFormat="1" ht="21.6" hidden="1" customHeight="1" thickBot="1" x14ac:dyDescent="0.25">
      <c r="C59" s="27"/>
      <c r="D59" s="122"/>
      <c r="E59" s="27"/>
      <c r="F59" s="111"/>
      <c r="G59" s="27"/>
      <c r="H59" s="27"/>
      <c r="J59" s="27"/>
      <c r="K59" s="27"/>
    </row>
    <row r="60" spans="2:14" s="37" customFormat="1" ht="19.5" thickBot="1" x14ac:dyDescent="0.35">
      <c r="B60" s="36" t="s">
        <v>431</v>
      </c>
      <c r="C60" s="38"/>
      <c r="D60" s="124"/>
      <c r="E60" s="38"/>
      <c r="F60" s="113"/>
      <c r="G60" s="39"/>
      <c r="I60" s="5"/>
      <c r="J60" s="27"/>
      <c r="K60" s="27"/>
      <c r="L60" s="5"/>
      <c r="M60" s="5"/>
    </row>
    <row r="61" spans="2:14" s="5" customFormat="1" ht="25.5" x14ac:dyDescent="0.2">
      <c r="B61" s="99" t="s">
        <v>27</v>
      </c>
      <c r="C61" s="100" t="s">
        <v>28</v>
      </c>
      <c r="D61" s="99" t="s">
        <v>29</v>
      </c>
      <c r="E61" s="100" t="s">
        <v>15</v>
      </c>
      <c r="F61" s="99" t="s">
        <v>169</v>
      </c>
      <c r="G61" s="100" t="s">
        <v>30</v>
      </c>
      <c r="H61" s="27"/>
      <c r="J61" s="27"/>
      <c r="K61" s="27"/>
    </row>
    <row r="62" spans="2:14" s="5" customFormat="1" x14ac:dyDescent="0.2">
      <c r="B62" s="18" t="s">
        <v>64</v>
      </c>
      <c r="C62" s="33">
        <v>4</v>
      </c>
      <c r="D62" s="85">
        <v>35.9</v>
      </c>
      <c r="E62" s="74">
        <f>G89</f>
        <v>3</v>
      </c>
      <c r="F62" s="74">
        <f>D62/12</f>
        <v>2.9916666666666667</v>
      </c>
      <c r="G62" s="48">
        <f>E62*F62*C62</f>
        <v>35.9</v>
      </c>
      <c r="H62" s="27"/>
      <c r="J62" s="27"/>
      <c r="K62" s="27"/>
    </row>
    <row r="63" spans="2:14" s="5" customFormat="1" x14ac:dyDescent="0.2">
      <c r="B63" s="18" t="s">
        <v>65</v>
      </c>
      <c r="C63" s="33">
        <v>2</v>
      </c>
      <c r="D63" s="85">
        <v>35.450000000000003</v>
      </c>
      <c r="E63" s="74">
        <f>E62</f>
        <v>3</v>
      </c>
      <c r="F63" s="74">
        <f t="shared" ref="F63:F66" si="9">D63/12</f>
        <v>2.9541666666666671</v>
      </c>
      <c r="G63" s="48">
        <f t="shared" ref="G63:G66" si="10">E63*F63*C63</f>
        <v>17.725000000000001</v>
      </c>
      <c r="H63" s="27"/>
      <c r="J63" s="27"/>
      <c r="K63" s="27"/>
    </row>
    <row r="64" spans="2:14" s="5" customFormat="1" x14ac:dyDescent="0.2">
      <c r="B64" s="18" t="s">
        <v>66</v>
      </c>
      <c r="C64" s="33">
        <v>2</v>
      </c>
      <c r="D64" s="85">
        <v>34</v>
      </c>
      <c r="E64" s="74">
        <f t="shared" ref="E64:E66" si="11">E63</f>
        <v>3</v>
      </c>
      <c r="F64" s="74">
        <f t="shared" si="9"/>
        <v>2.8333333333333335</v>
      </c>
      <c r="G64" s="48">
        <f t="shared" si="10"/>
        <v>17</v>
      </c>
      <c r="H64" s="27"/>
      <c r="J64" s="27"/>
      <c r="K64" s="27"/>
    </row>
    <row r="65" spans="2:14" s="5" customFormat="1" x14ac:dyDescent="0.2">
      <c r="B65" s="18" t="s">
        <v>67</v>
      </c>
      <c r="C65" s="33">
        <v>2</v>
      </c>
      <c r="D65" s="85">
        <v>19.75</v>
      </c>
      <c r="E65" s="74">
        <f t="shared" si="11"/>
        <v>3</v>
      </c>
      <c r="F65" s="74">
        <f t="shared" si="9"/>
        <v>1.6458333333333333</v>
      </c>
      <c r="G65" s="48">
        <f t="shared" si="10"/>
        <v>9.875</v>
      </c>
      <c r="H65" s="27"/>
      <c r="J65" s="27"/>
      <c r="K65" s="27"/>
    </row>
    <row r="66" spans="2:14" s="5" customFormat="1" x14ac:dyDescent="0.2">
      <c r="B66" s="18" t="s">
        <v>294</v>
      </c>
      <c r="C66" s="33">
        <f>6*24*12</f>
        <v>1728</v>
      </c>
      <c r="D66" s="85">
        <v>0.46</v>
      </c>
      <c r="E66" s="74">
        <f t="shared" si="11"/>
        <v>3</v>
      </c>
      <c r="F66" s="74">
        <f t="shared" si="9"/>
        <v>3.8333333333333337E-2</v>
      </c>
      <c r="G66" s="48">
        <f t="shared" si="10"/>
        <v>198.72000000000003</v>
      </c>
      <c r="H66" s="27"/>
      <c r="J66" s="27"/>
      <c r="K66" s="27"/>
    </row>
    <row r="67" spans="2:14" s="5" customFormat="1" ht="17.45" customHeight="1" x14ac:dyDescent="0.2">
      <c r="C67" s="27"/>
      <c r="D67" s="125"/>
      <c r="E67" s="27"/>
      <c r="F67" s="114"/>
      <c r="G67" s="53">
        <f>SUM(G62:G66)</f>
        <v>279.22000000000003</v>
      </c>
      <c r="H67" s="27"/>
      <c r="J67" s="27"/>
      <c r="K67" s="27"/>
    </row>
    <row r="68" spans="2:14" s="5" customFormat="1" ht="16.899999999999999" customHeight="1" thickBot="1" x14ac:dyDescent="0.25">
      <c r="D68" s="122"/>
      <c r="F68" s="111"/>
      <c r="H68" s="27"/>
      <c r="J68" s="27"/>
      <c r="K68" s="27"/>
    </row>
    <row r="69" spans="2:14" s="5" customFormat="1" ht="19.5" thickBot="1" x14ac:dyDescent="0.35">
      <c r="B69" s="624" t="s">
        <v>432</v>
      </c>
      <c r="C69" s="625"/>
      <c r="D69" s="625"/>
      <c r="E69" s="625"/>
      <c r="F69" s="625"/>
      <c r="G69" s="626"/>
      <c r="H69" s="27"/>
      <c r="J69" s="27"/>
      <c r="K69" s="27"/>
    </row>
    <row r="70" spans="2:14" s="5" customFormat="1" x14ac:dyDescent="0.2">
      <c r="C70" s="27"/>
      <c r="D70" s="122"/>
      <c r="E70" s="27"/>
      <c r="F70" s="111"/>
      <c r="G70" s="27"/>
      <c r="H70" s="27"/>
      <c r="J70" s="27"/>
      <c r="K70" s="27"/>
    </row>
    <row r="71" spans="2:14" s="5" customFormat="1" ht="13.5" hidden="1" thickBot="1" x14ac:dyDescent="0.25">
      <c r="B71" s="56" t="s">
        <v>77</v>
      </c>
      <c r="C71" s="28"/>
      <c r="D71" s="126"/>
      <c r="E71" s="28"/>
      <c r="F71" s="115"/>
      <c r="G71" s="57"/>
      <c r="H71" s="27"/>
      <c r="J71" s="27"/>
      <c r="K71" s="27"/>
    </row>
    <row r="72" spans="2:14" s="5" customFormat="1" ht="39" hidden="1" thickBot="1" x14ac:dyDescent="0.25">
      <c r="B72" s="103" t="s">
        <v>69</v>
      </c>
      <c r="C72" s="104"/>
      <c r="D72" s="103" t="s">
        <v>32</v>
      </c>
      <c r="E72" s="104" t="s">
        <v>33</v>
      </c>
      <c r="F72" s="103" t="s">
        <v>34</v>
      </c>
      <c r="G72" s="104" t="s">
        <v>35</v>
      </c>
      <c r="H72" s="27"/>
      <c r="J72" s="27"/>
      <c r="K72" s="27"/>
    </row>
    <row r="73" spans="2:14" s="5" customFormat="1" ht="13.5" hidden="1" thickBot="1" x14ac:dyDescent="0.25">
      <c r="B73" s="18" t="s">
        <v>62</v>
      </c>
      <c r="C73" s="24"/>
      <c r="D73" s="120" t="s">
        <v>36</v>
      </c>
      <c r="E73" s="6" t="e">
        <f>G73/F73</f>
        <v>#DIV/0!</v>
      </c>
      <c r="F73" s="98">
        <v>0</v>
      </c>
      <c r="G73" s="26">
        <f>((6+1)*F73*0.025)/(2*6*12)</f>
        <v>0</v>
      </c>
      <c r="H73" s="8"/>
      <c r="I73" s="595" t="s">
        <v>58</v>
      </c>
      <c r="J73" s="596"/>
      <c r="K73" s="596"/>
      <c r="L73" s="596"/>
      <c r="M73" s="596"/>
      <c r="N73" s="597"/>
    </row>
    <row r="74" spans="2:14" s="5" customFormat="1" ht="13.5" hidden="1" thickBot="1" x14ac:dyDescent="0.25">
      <c r="B74" s="18" t="s">
        <v>59</v>
      </c>
      <c r="C74" s="24"/>
      <c r="D74" s="85" t="s">
        <v>36</v>
      </c>
      <c r="E74" s="6" t="e">
        <f>G74/F74</f>
        <v>#DIV/0!</v>
      </c>
      <c r="F74" s="98">
        <f>F73</f>
        <v>0</v>
      </c>
      <c r="G74" s="26">
        <f>F74*4%/12</f>
        <v>0</v>
      </c>
      <c r="H74" s="8"/>
      <c r="I74" s="595" t="s">
        <v>107</v>
      </c>
      <c r="J74" s="596"/>
      <c r="K74" s="596"/>
      <c r="L74" s="596"/>
      <c r="M74" s="596"/>
      <c r="N74" s="597"/>
    </row>
    <row r="75" spans="2:14" s="5" customFormat="1" ht="15.75" hidden="1" customHeight="1" thickBot="1" x14ac:dyDescent="0.3">
      <c r="B75" s="7" t="s">
        <v>37</v>
      </c>
      <c r="C75" s="24"/>
      <c r="D75" s="120" t="s">
        <v>36</v>
      </c>
      <c r="E75" s="30" t="e">
        <f>G75/F75</f>
        <v>#DIV/0!</v>
      </c>
      <c r="F75" s="116">
        <f>F73</f>
        <v>0</v>
      </c>
      <c r="G75" s="31">
        <f>((((6+1)*F73)/(2*6))*0.06)/12</f>
        <v>0</v>
      </c>
      <c r="H75" s="8"/>
      <c r="I75" s="592" t="s">
        <v>53</v>
      </c>
      <c r="J75" s="593"/>
      <c r="K75" s="593"/>
      <c r="L75" s="593"/>
      <c r="M75" s="593"/>
      <c r="N75" s="594"/>
    </row>
    <row r="76" spans="2:14" s="5" customFormat="1" ht="15.75" hidden="1" thickBot="1" x14ac:dyDescent="0.3">
      <c r="B76" s="7" t="s">
        <v>38</v>
      </c>
      <c r="C76" s="24"/>
      <c r="D76" s="120" t="s">
        <v>36</v>
      </c>
      <c r="E76" s="30" t="e">
        <f t="shared" ref="E76:E77" si="12">G76/F76</f>
        <v>#DIV/0!</v>
      </c>
      <c r="F76" s="116">
        <f>F75</f>
        <v>0</v>
      </c>
      <c r="G76" s="31">
        <f>((((1-0.2/100)/6))*F76)/12</f>
        <v>0</v>
      </c>
      <c r="H76" s="8"/>
      <c r="I76" s="595" t="s">
        <v>52</v>
      </c>
      <c r="J76" s="596"/>
      <c r="K76" s="596"/>
      <c r="L76" s="596"/>
      <c r="M76" s="596"/>
      <c r="N76" s="597"/>
    </row>
    <row r="77" spans="2:14" s="5" customFormat="1" ht="15.75" hidden="1" thickBot="1" x14ac:dyDescent="0.3">
      <c r="B77" s="7" t="s">
        <v>39</v>
      </c>
      <c r="C77" s="24"/>
      <c r="D77" s="120" t="s">
        <v>36</v>
      </c>
      <c r="E77" s="32" t="e">
        <f t="shared" si="12"/>
        <v>#DIV/0!</v>
      </c>
      <c r="F77" s="74">
        <f>F73</f>
        <v>0</v>
      </c>
      <c r="G77" s="31">
        <f>0.9*F77/48</f>
        <v>0</v>
      </c>
      <c r="H77" s="8"/>
      <c r="I77" s="595" t="s">
        <v>57</v>
      </c>
      <c r="J77" s="596"/>
      <c r="K77" s="596"/>
      <c r="L77" s="596"/>
      <c r="M77" s="596"/>
      <c r="N77" s="597"/>
    </row>
    <row r="78" spans="2:14" s="5" customFormat="1" ht="15.75" hidden="1" thickBot="1" x14ac:dyDescent="0.3">
      <c r="B78" s="7" t="s">
        <v>40</v>
      </c>
      <c r="C78" s="24"/>
      <c r="D78" s="120" t="s">
        <v>36</v>
      </c>
      <c r="E78" s="32">
        <v>5.0000000000000001E-3</v>
      </c>
      <c r="F78" s="74">
        <f>F73</f>
        <v>0</v>
      </c>
      <c r="G78" s="31">
        <f>0.5%*F78</f>
        <v>0</v>
      </c>
      <c r="H78" s="8"/>
      <c r="I78" s="598" t="s">
        <v>60</v>
      </c>
      <c r="J78" s="599"/>
      <c r="K78" s="599"/>
      <c r="L78" s="599"/>
      <c r="M78" s="599"/>
      <c r="N78" s="600"/>
    </row>
    <row r="79" spans="2:14" s="5" customFormat="1" ht="13.5" hidden="1" thickBot="1" x14ac:dyDescent="0.25">
      <c r="B79" s="7" t="s">
        <v>41</v>
      </c>
      <c r="C79" s="24"/>
      <c r="D79" s="120" t="s">
        <v>36</v>
      </c>
      <c r="E79" s="6">
        <v>0.1</v>
      </c>
      <c r="F79" s="98">
        <f>G58*10%</f>
        <v>0</v>
      </c>
      <c r="G79" s="26">
        <f t="shared" ref="G79" si="13">ROUND(E79*F79,2)</f>
        <v>0</v>
      </c>
      <c r="H79" s="8"/>
      <c r="I79" s="598" t="s">
        <v>61</v>
      </c>
      <c r="J79" s="599"/>
      <c r="K79" s="599"/>
      <c r="L79" s="599"/>
      <c r="M79" s="599"/>
      <c r="N79" s="600"/>
    </row>
    <row r="80" spans="2:14" s="5" customFormat="1" ht="15" hidden="1" x14ac:dyDescent="0.25">
      <c r="B80" s="8"/>
      <c r="C80" s="22"/>
      <c r="D80" s="123"/>
      <c r="E80" s="22"/>
      <c r="F80" s="112"/>
      <c r="G80" s="25">
        <f>SUM(G73:G79)</f>
        <v>0</v>
      </c>
      <c r="H80" s="8"/>
      <c r="I80" s="8"/>
      <c r="J80" s="8"/>
      <c r="K80" s="8"/>
      <c r="L80" s="8"/>
      <c r="M80" s="8"/>
      <c r="N80" s="22"/>
    </row>
    <row r="81" spans="2:14" s="5" customFormat="1" x14ac:dyDescent="0.2">
      <c r="C81" s="27"/>
      <c r="D81" s="122"/>
      <c r="E81" s="27"/>
      <c r="F81" s="111"/>
      <c r="G81" s="27"/>
      <c r="H81" s="27"/>
      <c r="J81" s="27"/>
      <c r="K81" s="27"/>
    </row>
    <row r="82" spans="2:14" s="5" customFormat="1" x14ac:dyDescent="0.2">
      <c r="B82" s="58" t="s">
        <v>433</v>
      </c>
      <c r="C82" s="54"/>
      <c r="D82" s="127"/>
      <c r="E82" s="54"/>
      <c r="F82" s="117"/>
      <c r="G82" s="54"/>
      <c r="H82" s="27"/>
      <c r="J82" s="27"/>
      <c r="K82" s="27"/>
    </row>
    <row r="83" spans="2:14" s="5" customFormat="1" ht="26.25" thickBot="1" x14ac:dyDescent="0.25">
      <c r="B83" s="99" t="s">
        <v>285</v>
      </c>
      <c r="C83" s="100"/>
      <c r="D83" s="99" t="s">
        <v>32</v>
      </c>
      <c r="E83" s="100" t="s">
        <v>33</v>
      </c>
      <c r="F83" s="99" t="s">
        <v>34</v>
      </c>
      <c r="G83" s="100" t="s">
        <v>35</v>
      </c>
      <c r="H83" s="27"/>
      <c r="J83" s="27"/>
      <c r="K83" s="27"/>
    </row>
    <row r="84" spans="2:14" s="5" customFormat="1" ht="15.75" thickBot="1" x14ac:dyDescent="0.3">
      <c r="B84" s="18" t="s">
        <v>37</v>
      </c>
      <c r="C84" s="33"/>
      <c r="D84" s="85" t="s">
        <v>36</v>
      </c>
      <c r="E84" s="272">
        <f>G84/F84</f>
        <v>4.1666666666666666E-3</v>
      </c>
      <c r="F84" s="74">
        <v>834</v>
      </c>
      <c r="G84" s="31">
        <f>(((1.5+1)*F84)/(2*1.5))*0.06/12</f>
        <v>3.4749999999999996</v>
      </c>
      <c r="H84" s="27"/>
      <c r="I84" s="35" t="s">
        <v>81</v>
      </c>
      <c r="J84" s="59"/>
      <c r="K84" s="59"/>
      <c r="L84" s="60"/>
      <c r="M84" s="60"/>
      <c r="N84" s="61"/>
    </row>
    <row r="85" spans="2:14" s="5" customFormat="1" ht="15.75" thickBot="1" x14ac:dyDescent="0.3">
      <c r="B85" s="18" t="s">
        <v>38</v>
      </c>
      <c r="C85" s="33"/>
      <c r="D85" s="85" t="s">
        <v>36</v>
      </c>
      <c r="E85" s="33">
        <f t="shared" ref="E85:E86" si="14">G85/F85</f>
        <v>5.5500000000000008E-2</v>
      </c>
      <c r="F85" s="74">
        <f>F84</f>
        <v>834</v>
      </c>
      <c r="G85" s="31">
        <f>((1-0.1/100)/1.5)*F85/12</f>
        <v>46.287000000000006</v>
      </c>
      <c r="H85" s="27"/>
      <c r="I85" s="35" t="s">
        <v>80</v>
      </c>
      <c r="J85" s="59"/>
      <c r="K85" s="59"/>
      <c r="L85" s="60"/>
      <c r="M85" s="60"/>
      <c r="N85" s="61"/>
    </row>
    <row r="86" spans="2:14" s="5" customFormat="1" ht="15.75" thickBot="1" x14ac:dyDescent="0.3">
      <c r="B86" s="18" t="s">
        <v>39</v>
      </c>
      <c r="C86" s="33"/>
      <c r="D86" s="85" t="s">
        <v>36</v>
      </c>
      <c r="E86" s="33">
        <f t="shared" si="14"/>
        <v>3.6111111111111115E-2</v>
      </c>
      <c r="F86" s="74">
        <f>F84</f>
        <v>834</v>
      </c>
      <c r="G86" s="31">
        <f>(0.65*F86)/(1.5*12)</f>
        <v>30.116666666666667</v>
      </c>
      <c r="H86" s="27"/>
      <c r="I86" s="35" t="s">
        <v>82</v>
      </c>
      <c r="J86" s="59"/>
      <c r="K86" s="59"/>
      <c r="L86" s="60"/>
      <c r="M86" s="60"/>
      <c r="N86" s="61"/>
    </row>
    <row r="87" spans="2:14" s="5" customFormat="1" ht="15" x14ac:dyDescent="0.25">
      <c r="B87" s="18" t="s">
        <v>40</v>
      </c>
      <c r="C87" s="33"/>
      <c r="D87" s="85" t="s">
        <v>36</v>
      </c>
      <c r="E87" s="33"/>
      <c r="F87" s="74"/>
      <c r="G87" s="31"/>
      <c r="H87" s="49"/>
      <c r="I87" s="50"/>
      <c r="J87" s="27"/>
      <c r="K87" s="27"/>
    </row>
    <row r="88" spans="2:14" s="5" customFormat="1" x14ac:dyDescent="0.2">
      <c r="C88" s="27"/>
      <c r="D88" s="125"/>
      <c r="E88" s="27"/>
      <c r="F88" s="114"/>
      <c r="G88" s="53">
        <f>SUM(G84:G87)</f>
        <v>79.878666666666675</v>
      </c>
      <c r="H88" s="27"/>
      <c r="J88" s="27"/>
      <c r="K88" s="27"/>
    </row>
    <row r="89" spans="2:14" s="5" customFormat="1" ht="18" x14ac:dyDescent="0.25">
      <c r="B89" s="302" t="s">
        <v>289</v>
      </c>
      <c r="C89" s="299"/>
      <c r="D89" s="300"/>
      <c r="E89" s="299"/>
      <c r="F89" s="301"/>
      <c r="G89" s="473">
        <f>ROUND(L36/3,0)</f>
        <v>3</v>
      </c>
      <c r="H89" s="27"/>
      <c r="J89" s="27"/>
      <c r="K89" s="27"/>
    </row>
    <row r="90" spans="2:14" s="5" customFormat="1" x14ac:dyDescent="0.2">
      <c r="B90" s="303" t="s">
        <v>203</v>
      </c>
      <c r="C90" s="304"/>
      <c r="D90" s="305"/>
      <c r="E90" s="304"/>
      <c r="F90" s="306"/>
      <c r="G90" s="52">
        <f>G88*G89</f>
        <v>239.63600000000002</v>
      </c>
      <c r="H90" s="27"/>
      <c r="J90" s="27"/>
      <c r="K90" s="27"/>
    </row>
    <row r="91" spans="2:14" s="5" customFormat="1" ht="13.5" thickBot="1" x14ac:dyDescent="0.25">
      <c r="C91" s="27"/>
      <c r="D91" s="122"/>
      <c r="E91" s="27"/>
      <c r="F91" s="111"/>
      <c r="G91" s="27"/>
      <c r="H91" s="27"/>
      <c r="J91" s="27"/>
      <c r="K91" s="27"/>
    </row>
    <row r="92" spans="2:14" s="175" customFormat="1" ht="15.75" customHeight="1" thickBot="1" x14ac:dyDescent="0.25">
      <c r="B92" s="105" t="s">
        <v>43</v>
      </c>
      <c r="C92" s="106"/>
      <c r="D92" s="107"/>
      <c r="E92" s="106"/>
      <c r="F92" s="108"/>
      <c r="G92" s="109" t="s">
        <v>46</v>
      </c>
      <c r="H92" s="623"/>
      <c r="I92" s="623"/>
    </row>
    <row r="93" spans="2:14" s="175" customFormat="1" ht="15.75" customHeight="1" x14ac:dyDescent="0.2">
      <c r="B93" s="176" t="s">
        <v>44</v>
      </c>
      <c r="C93" s="177"/>
      <c r="D93" s="128"/>
      <c r="E93" s="177"/>
      <c r="F93" s="178"/>
      <c r="G93" s="179">
        <f>M39</f>
        <v>48893.919999999998</v>
      </c>
      <c r="H93" s="622"/>
      <c r="I93" s="622"/>
    </row>
    <row r="94" spans="2:14" s="175" customFormat="1" ht="15.75" customHeight="1" x14ac:dyDescent="0.2">
      <c r="B94" s="180" t="s">
        <v>45</v>
      </c>
      <c r="C94" s="181"/>
      <c r="D94" s="129"/>
      <c r="E94" s="181"/>
      <c r="F94" s="182"/>
      <c r="G94" s="183">
        <f>G52</f>
        <v>753.13333333333333</v>
      </c>
      <c r="H94" s="622"/>
      <c r="I94" s="622"/>
    </row>
    <row r="95" spans="2:14" s="175" customFormat="1" ht="15.75" hidden="1" customHeight="1" x14ac:dyDescent="0.2">
      <c r="B95" s="180" t="s">
        <v>84</v>
      </c>
      <c r="C95" s="181"/>
      <c r="D95" s="129"/>
      <c r="E95" s="181"/>
      <c r="F95" s="182"/>
      <c r="G95" s="183">
        <f>G58</f>
        <v>0</v>
      </c>
      <c r="H95" s="622"/>
      <c r="I95" s="622"/>
    </row>
    <row r="96" spans="2:14" s="175" customFormat="1" ht="15.75" customHeight="1" x14ac:dyDescent="0.2">
      <c r="B96" s="180" t="s">
        <v>434</v>
      </c>
      <c r="C96" s="181"/>
      <c r="D96" s="129"/>
      <c r="E96" s="181"/>
      <c r="F96" s="182"/>
      <c r="G96" s="183">
        <f>G67</f>
        <v>279.22000000000003</v>
      </c>
      <c r="H96" s="622"/>
      <c r="I96" s="622"/>
    </row>
    <row r="97" spans="2:21" s="175" customFormat="1" ht="18.75" customHeight="1" thickBot="1" x14ac:dyDescent="0.25">
      <c r="B97" s="162" t="s">
        <v>435</v>
      </c>
      <c r="C97" s="163"/>
      <c r="D97" s="130"/>
      <c r="E97" s="163"/>
      <c r="F97" s="184"/>
      <c r="G97" s="185">
        <f>G90+G80</f>
        <v>239.63600000000002</v>
      </c>
      <c r="H97" s="622"/>
      <c r="I97" s="622"/>
    </row>
    <row r="98" spans="2:21" ht="19.5" customHeight="1" thickBot="1" x14ac:dyDescent="0.3">
      <c r="B98" s="189" t="s">
        <v>94</v>
      </c>
      <c r="C98" s="172"/>
      <c r="D98" s="173"/>
      <c r="E98" s="173"/>
      <c r="F98" s="144"/>
      <c r="G98" s="174">
        <f>SUM(G93:G97)</f>
        <v>50165.909333333329</v>
      </c>
      <c r="H98" s="170"/>
      <c r="J98" s="8"/>
      <c r="K98" s="8"/>
    </row>
    <row r="99" spans="2:21" ht="18.75" customHeight="1" thickBot="1" x14ac:dyDescent="0.25">
      <c r="B99" s="190" t="s">
        <v>95</v>
      </c>
      <c r="C99" s="310"/>
      <c r="D99" s="310"/>
      <c r="E99" s="310"/>
      <c r="F99" s="311"/>
      <c r="G99" s="188">
        <f>'CANTEIRO ADM LOCAL'!F53</f>
        <v>2208.5279999999998</v>
      </c>
      <c r="H99" s="8"/>
      <c r="J99" s="8"/>
      <c r="K99" s="8"/>
    </row>
    <row r="100" spans="2:21" ht="18.75" customHeight="1" thickBot="1" x14ac:dyDescent="0.25">
      <c r="B100" s="644" t="s">
        <v>96</v>
      </c>
      <c r="C100" s="645"/>
      <c r="D100" s="645"/>
      <c r="E100" s="645"/>
      <c r="F100" s="646"/>
      <c r="G100" s="187">
        <f>G99+G98</f>
        <v>52374.437333333328</v>
      </c>
      <c r="H100" s="8"/>
      <c r="J100" s="8"/>
      <c r="K100" s="8"/>
    </row>
    <row r="101" spans="2:21" ht="18.75" customHeight="1" thickBot="1" x14ac:dyDescent="0.25">
      <c r="B101" s="639" t="s">
        <v>269</v>
      </c>
      <c r="C101" s="640"/>
      <c r="D101" s="640"/>
      <c r="E101" s="436">
        <f>'BDI Agetop'!R36</f>
        <v>0.21990000000000001</v>
      </c>
      <c r="F101" s="171"/>
      <c r="G101" s="188">
        <f>G100*E101</f>
        <v>11517.1387696</v>
      </c>
      <c r="H101" s="8"/>
      <c r="J101" s="8"/>
      <c r="K101" s="8"/>
    </row>
    <row r="102" spans="2:21" ht="18.75" customHeight="1" thickBot="1" x14ac:dyDescent="0.25">
      <c r="B102" s="641" t="s">
        <v>97</v>
      </c>
      <c r="C102" s="642"/>
      <c r="D102" s="642"/>
      <c r="E102" s="642"/>
      <c r="F102" s="643"/>
      <c r="G102" s="186">
        <f>G101+G100</f>
        <v>63891.57610293333</v>
      </c>
      <c r="H102" s="118"/>
      <c r="J102" s="8"/>
      <c r="K102" s="8"/>
      <c r="P102" s="315">
        <f>G102/25</f>
        <v>2555.6630441173334</v>
      </c>
      <c r="T102" s="315"/>
      <c r="U102" s="315"/>
    </row>
    <row r="103" spans="2:21" ht="13.5" thickBot="1" x14ac:dyDescent="0.25">
      <c r="B103" s="5"/>
      <c r="C103" s="27"/>
      <c r="D103" s="122"/>
      <c r="E103" s="27"/>
      <c r="F103" s="111"/>
      <c r="G103" s="27"/>
    </row>
    <row r="104" spans="2:21" s="439" customFormat="1" ht="25.9" customHeight="1" thickBot="1" x14ac:dyDescent="0.25">
      <c r="B104" s="647" t="s">
        <v>98</v>
      </c>
      <c r="C104" s="648"/>
      <c r="D104" s="648"/>
      <c r="E104" s="648"/>
      <c r="F104" s="649"/>
      <c r="G104" s="437">
        <f>G30</f>
        <v>644.2715199999999</v>
      </c>
      <c r="H104" s="438"/>
      <c r="J104" s="438"/>
      <c r="K104" s="438"/>
    </row>
    <row r="105" spans="2:21" s="439" customFormat="1" ht="27" customHeight="1" thickBot="1" x14ac:dyDescent="0.25">
      <c r="B105" s="650" t="s">
        <v>99</v>
      </c>
      <c r="C105" s="651"/>
      <c r="D105" s="651"/>
      <c r="E105" s="651"/>
      <c r="F105" s="652"/>
      <c r="G105" s="440">
        <f>G102/G104</f>
        <v>99.168710892161343</v>
      </c>
      <c r="H105" s="438"/>
      <c r="J105" s="438"/>
      <c r="K105" s="438"/>
    </row>
    <row r="107" spans="2:21" ht="14.25" x14ac:dyDescent="0.2">
      <c r="B107" s="475" t="str">
        <f>'Orçamento Geral '!$A$22</f>
        <v>Heitorai, 05/2021</v>
      </c>
    </row>
    <row r="113" spans="5:5" ht="15" x14ac:dyDescent="0.25">
      <c r="E113" s="474"/>
    </row>
    <row r="114" spans="5:5" ht="15" x14ac:dyDescent="0.25">
      <c r="E114" s="474"/>
    </row>
  </sheetData>
  <mergeCells count="25">
    <mergeCell ref="B101:D101"/>
    <mergeCell ref="B102:F102"/>
    <mergeCell ref="B100:F100"/>
    <mergeCell ref="B104:F104"/>
    <mergeCell ref="B105:F105"/>
    <mergeCell ref="B55:G55"/>
    <mergeCell ref="I78:N78"/>
    <mergeCell ref="B9:N10"/>
    <mergeCell ref="B11:N11"/>
    <mergeCell ref="B42:G42"/>
    <mergeCell ref="B69:G69"/>
    <mergeCell ref="B33:M33"/>
    <mergeCell ref="B34:M34"/>
    <mergeCell ref="H97:I97"/>
    <mergeCell ref="H92:I92"/>
    <mergeCell ref="H93:I93"/>
    <mergeCell ref="H94:I94"/>
    <mergeCell ref="H95:I95"/>
    <mergeCell ref="H96:I96"/>
    <mergeCell ref="I79:N79"/>
    <mergeCell ref="I73:N73"/>
    <mergeCell ref="I74:N74"/>
    <mergeCell ref="I75:N75"/>
    <mergeCell ref="I76:N76"/>
    <mergeCell ref="I77:N77"/>
  </mergeCells>
  <printOptions horizontalCentered="1"/>
  <pageMargins left="0.51181102362204722" right="0.11811023622047245" top="0.59055118110236227" bottom="0.39370078740157483" header="0" footer="0"/>
  <pageSetup paperSize="9" scale="65" orientation="landscape" r:id="rId1"/>
  <headerFooter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8:U63"/>
  <sheetViews>
    <sheetView topLeftCell="A13" zoomScale="85" zoomScaleNormal="85" zoomScaleSheetLayoutView="85" workbookViewId="0">
      <selection activeCell="K33" sqref="K33"/>
    </sheetView>
  </sheetViews>
  <sheetFormatPr defaultColWidth="9.140625" defaultRowHeight="12.75" x14ac:dyDescent="0.2"/>
  <cols>
    <col min="1" max="1" width="40.5703125" style="4" customWidth="1"/>
    <col min="2" max="2" width="15.42578125" style="4" customWidth="1"/>
    <col min="3" max="3" width="10.28515625" style="4" customWidth="1"/>
    <col min="4" max="4" width="9.28515625" style="4" customWidth="1"/>
    <col min="5" max="5" width="12" style="4" customWidth="1"/>
    <col min="6" max="6" width="15.28515625" style="4" customWidth="1"/>
    <col min="7" max="7" width="10.7109375" style="4" customWidth="1"/>
    <col min="8" max="8" width="8.28515625" style="4" hidden="1" customWidth="1"/>
    <col min="9" max="9" width="10.140625" style="4" customWidth="1"/>
    <col min="10" max="10" width="9.42578125" style="4" customWidth="1"/>
    <col min="11" max="11" width="11.7109375" style="4" customWidth="1"/>
    <col min="12" max="13" width="13.85546875" style="4" customWidth="1"/>
    <col min="14" max="14" width="8.5703125" style="4" customWidth="1"/>
    <col min="15" max="15" width="5.7109375" style="4" customWidth="1"/>
    <col min="16" max="16" width="7.85546875" style="4" customWidth="1"/>
    <col min="17" max="16384" width="9.140625" style="4"/>
  </cols>
  <sheetData>
    <row r="8" spans="1:13" ht="37.5" customHeight="1" thickBot="1" x14ac:dyDescent="0.25"/>
    <row r="9" spans="1:13" ht="22.5" customHeight="1" x14ac:dyDescent="0.2">
      <c r="A9" s="653" t="s">
        <v>7</v>
      </c>
      <c r="B9" s="654"/>
      <c r="C9" s="654"/>
      <c r="D9" s="654"/>
      <c r="E9" s="654"/>
      <c r="F9" s="654"/>
      <c r="G9" s="654"/>
      <c r="H9" s="654"/>
      <c r="I9" s="654"/>
      <c r="J9" s="654"/>
      <c r="K9" s="654"/>
      <c r="L9" s="654"/>
      <c r="M9" s="655"/>
    </row>
    <row r="10" spans="1:13" ht="6" customHeight="1" thickBot="1" x14ac:dyDescent="0.25">
      <c r="A10" s="656"/>
      <c r="B10" s="657"/>
      <c r="C10" s="657"/>
      <c r="D10" s="657"/>
      <c r="E10" s="657"/>
      <c r="F10" s="657"/>
      <c r="G10" s="657"/>
      <c r="H10" s="657"/>
      <c r="I10" s="657"/>
      <c r="J10" s="657"/>
      <c r="K10" s="657"/>
      <c r="L10" s="657"/>
      <c r="M10" s="658"/>
    </row>
    <row r="11" spans="1:13" ht="26.25" customHeight="1" thickBot="1" x14ac:dyDescent="0.25">
      <c r="A11" s="659" t="s">
        <v>85</v>
      </c>
      <c r="B11" s="660"/>
      <c r="C11" s="660"/>
      <c r="D11" s="660"/>
      <c r="E11" s="660"/>
      <c r="F11" s="660"/>
      <c r="G11" s="660"/>
      <c r="H11" s="660"/>
      <c r="I11" s="660"/>
      <c r="J11" s="660"/>
      <c r="K11" s="660"/>
      <c r="L11" s="660"/>
      <c r="M11" s="661"/>
    </row>
    <row r="12" spans="1:13" ht="18" x14ac:dyDescent="0.25">
      <c r="A12" s="1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3" ht="13.5" thickBot="1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s="5" customFormat="1" ht="18.75" thickBot="1" x14ac:dyDescent="0.3">
      <c r="A14" s="633" t="s">
        <v>71</v>
      </c>
      <c r="B14" s="634"/>
      <c r="C14" s="634"/>
      <c r="D14" s="634"/>
      <c r="E14" s="634"/>
      <c r="F14" s="634"/>
      <c r="G14" s="634"/>
      <c r="H14" s="634"/>
      <c r="I14" s="634"/>
      <c r="J14" s="634"/>
      <c r="K14" s="634"/>
      <c r="L14" s="634"/>
      <c r="M14" s="635"/>
    </row>
    <row r="15" spans="1:13" s="5" customFormat="1" ht="32.25" customHeight="1" thickBot="1" x14ac:dyDescent="0.25">
      <c r="A15" s="665" t="s">
        <v>286</v>
      </c>
      <c r="B15" s="666"/>
      <c r="C15" s="431"/>
      <c r="D15" s="430"/>
      <c r="E15" s="430"/>
      <c r="F15" s="430"/>
      <c r="G15" s="430"/>
      <c r="H15" s="662"/>
      <c r="I15" s="662"/>
      <c r="J15" s="662"/>
      <c r="K15" s="432"/>
      <c r="L15" s="430"/>
      <c r="M15" s="433"/>
    </row>
    <row r="16" spans="1:13" s="47" customFormat="1" ht="45.75" customHeight="1" x14ac:dyDescent="0.2">
      <c r="A16" s="77" t="s">
        <v>19</v>
      </c>
      <c r="B16" s="78" t="s">
        <v>20</v>
      </c>
      <c r="C16" s="79" t="s">
        <v>73</v>
      </c>
      <c r="D16" s="78" t="s">
        <v>83</v>
      </c>
      <c r="E16" s="80" t="s">
        <v>0</v>
      </c>
      <c r="F16" s="78" t="s">
        <v>166</v>
      </c>
      <c r="G16" s="81" t="s">
        <v>22</v>
      </c>
      <c r="H16" s="78" t="s">
        <v>9</v>
      </c>
      <c r="I16" s="78" t="s">
        <v>23</v>
      </c>
      <c r="J16" s="79" t="s">
        <v>24</v>
      </c>
      <c r="K16" s="80" t="s">
        <v>25</v>
      </c>
      <c r="L16" s="79" t="s">
        <v>15</v>
      </c>
      <c r="M16" s="82" t="s">
        <v>26</v>
      </c>
    </row>
    <row r="17" spans="1:14" s="5" customFormat="1" ht="15" hidden="1" customHeight="1" x14ac:dyDescent="0.2">
      <c r="A17" s="167" t="s">
        <v>319</v>
      </c>
      <c r="B17" s="83"/>
      <c r="C17" s="88">
        <f>VARRIÇÃO!D36</f>
        <v>1179.92</v>
      </c>
      <c r="D17" s="88"/>
      <c r="E17" s="89">
        <f>ROUND(SUM(C17:D17),2)</f>
        <v>1179.92</v>
      </c>
      <c r="F17" s="88">
        <f>ROUND(E17*75.89%,2)</f>
        <v>895.44</v>
      </c>
      <c r="G17" s="89">
        <f>ROUND(E17+F17,2)</f>
        <v>2075.36</v>
      </c>
      <c r="H17" s="88"/>
      <c r="I17" s="88">
        <f>VARRIÇÃO!I36</f>
        <v>339.28005119999995</v>
      </c>
      <c r="J17" s="258">
        <v>2.2999999999999998</v>
      </c>
      <c r="K17" s="89">
        <f>ROUND(SUM(G17:J17),2)</f>
        <v>2416.94</v>
      </c>
      <c r="L17" s="84">
        <v>0</v>
      </c>
      <c r="M17" s="90">
        <f>K17*L17</f>
        <v>0</v>
      </c>
    </row>
    <row r="18" spans="1:14" s="5" customFormat="1" ht="15" hidden="1" customHeight="1" x14ac:dyDescent="0.2">
      <c r="A18" s="167" t="s">
        <v>167</v>
      </c>
      <c r="B18" s="83"/>
      <c r="C18" s="88">
        <v>2500</v>
      </c>
      <c r="D18" s="88"/>
      <c r="E18" s="89">
        <f>ROUND(SUM(C18:D18),2)</f>
        <v>2500</v>
      </c>
      <c r="F18" s="88">
        <f>ROUND(E18*75.89%,2)</f>
        <v>1897.25</v>
      </c>
      <c r="G18" s="89">
        <f>ROUND(E18+F18,2)</f>
        <v>4397.25</v>
      </c>
      <c r="H18" s="88"/>
      <c r="I18" s="88">
        <v>264</v>
      </c>
      <c r="J18" s="258">
        <v>2.2999999999999998</v>
      </c>
      <c r="K18" s="89">
        <f>ROUND(SUM(G18:J18),2)</f>
        <v>4663.55</v>
      </c>
      <c r="L18" s="84">
        <v>0</v>
      </c>
      <c r="M18" s="90">
        <f>K18*L18</f>
        <v>0</v>
      </c>
    </row>
    <row r="19" spans="1:14" s="5" customFormat="1" ht="15" hidden="1" customHeight="1" x14ac:dyDescent="0.2">
      <c r="A19" s="168" t="s">
        <v>12</v>
      </c>
      <c r="B19" s="85"/>
      <c r="C19" s="91">
        <v>1500</v>
      </c>
      <c r="D19" s="91"/>
      <c r="E19" s="92">
        <f t="shared" ref="E19:E20" si="0">ROUND(SUM(C19:D19),2)</f>
        <v>1500</v>
      </c>
      <c r="F19" s="91">
        <f t="shared" ref="F19:F20" si="1">ROUND(E19*75.89%,2)</f>
        <v>1138.3499999999999</v>
      </c>
      <c r="G19" s="92">
        <f t="shared" ref="G19:G20" si="2">ROUND(E19+F19,2)</f>
        <v>2638.35</v>
      </c>
      <c r="H19" s="91"/>
      <c r="I19" s="91">
        <v>264</v>
      </c>
      <c r="J19" s="259">
        <v>2.2999999999999998</v>
      </c>
      <c r="K19" s="92">
        <f t="shared" ref="K19:K20" si="3">ROUND(SUM(G19:J19),2)</f>
        <v>2904.65</v>
      </c>
      <c r="L19" s="86">
        <v>0</v>
      </c>
      <c r="M19" s="93">
        <f t="shared" ref="M19:M20" si="4">K19*L19</f>
        <v>0</v>
      </c>
    </row>
    <row r="20" spans="1:14" s="5" customFormat="1" ht="15" customHeight="1" x14ac:dyDescent="0.2">
      <c r="A20" s="168" t="s">
        <v>405</v>
      </c>
      <c r="B20" s="85"/>
      <c r="C20" s="91">
        <f>VARRIÇÃO!D36</f>
        <v>1179.92</v>
      </c>
      <c r="D20" s="91"/>
      <c r="E20" s="92">
        <f t="shared" si="0"/>
        <v>1179.92</v>
      </c>
      <c r="F20" s="91">
        <f t="shared" si="1"/>
        <v>895.44</v>
      </c>
      <c r="G20" s="92">
        <f t="shared" si="2"/>
        <v>2075.36</v>
      </c>
      <c r="H20" s="91"/>
      <c r="I20" s="91">
        <v>183</v>
      </c>
      <c r="J20" s="259">
        <v>2.2999999999999998</v>
      </c>
      <c r="K20" s="92">
        <f t="shared" si="3"/>
        <v>2260.66</v>
      </c>
      <c r="L20" s="86">
        <v>2</v>
      </c>
      <c r="M20" s="93">
        <f t="shared" si="4"/>
        <v>4521.32</v>
      </c>
    </row>
    <row r="21" spans="1:14" s="5" customFormat="1" ht="15" hidden="1" customHeight="1" x14ac:dyDescent="0.2">
      <c r="A21" s="168" t="s">
        <v>196</v>
      </c>
      <c r="B21" s="85"/>
      <c r="C21" s="91">
        <v>7800</v>
      </c>
      <c r="D21" s="91"/>
      <c r="E21" s="92">
        <f t="shared" ref="E21" si="5">ROUND(SUM(C21:D21),2)</f>
        <v>7800</v>
      </c>
      <c r="F21" s="91">
        <f t="shared" ref="F21" si="6">ROUND(E21*75.89%,2)</f>
        <v>5919.42</v>
      </c>
      <c r="G21" s="92">
        <f t="shared" ref="G21" si="7">ROUND(E21+F21,2)</f>
        <v>13719.42</v>
      </c>
      <c r="H21" s="91"/>
      <c r="I21" s="91">
        <v>264</v>
      </c>
      <c r="J21" s="259">
        <v>2.2999999999999998</v>
      </c>
      <c r="K21" s="92">
        <f t="shared" ref="K21" si="8">ROUND(SUM(G21:J21),2)</f>
        <v>13985.72</v>
      </c>
      <c r="L21" s="86">
        <v>0</v>
      </c>
      <c r="M21" s="93">
        <f t="shared" ref="M21" si="9">K21*L21</f>
        <v>0</v>
      </c>
    </row>
    <row r="22" spans="1:14" s="5" customFormat="1" ht="15" customHeight="1" thickBot="1" x14ac:dyDescent="0.25">
      <c r="A22" s="169"/>
      <c r="B22" s="87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>
        <f>SUM(M17:M21)</f>
        <v>4521.32</v>
      </c>
    </row>
    <row r="23" spans="1:14" x14ac:dyDescent="0.2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</row>
    <row r="24" spans="1:14" ht="13.5" thickBot="1" x14ac:dyDescent="0.25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</row>
    <row r="25" spans="1:14" s="5" customFormat="1" ht="19.5" thickBot="1" x14ac:dyDescent="0.3">
      <c r="A25" s="152" t="s">
        <v>86</v>
      </c>
      <c r="B25" s="153"/>
      <c r="C25" s="153"/>
      <c r="D25" s="153"/>
      <c r="E25" s="153"/>
      <c r="F25" s="153"/>
      <c r="G25" s="153"/>
      <c r="H25" s="153"/>
      <c r="I25" s="154"/>
      <c r="J25" s="153"/>
      <c r="K25" s="153"/>
      <c r="L25" s="153"/>
      <c r="M25" s="153"/>
      <c r="N25" s="134"/>
    </row>
    <row r="26" spans="1:14" x14ac:dyDescent="0.2">
      <c r="A26" s="155" t="s">
        <v>10</v>
      </c>
      <c r="B26" s="156" t="s">
        <v>87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</row>
    <row r="27" spans="1:14" x14ac:dyDescent="0.2">
      <c r="A27" s="157" t="s">
        <v>168</v>
      </c>
      <c r="B27" s="158">
        <v>700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</row>
    <row r="28" spans="1:14" x14ac:dyDescent="0.2">
      <c r="A28" s="157" t="s">
        <v>88</v>
      </c>
      <c r="B28" s="158">
        <v>250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</row>
    <row r="29" spans="1:14" x14ac:dyDescent="0.2">
      <c r="A29" s="159" t="s">
        <v>89</v>
      </c>
      <c r="B29" s="158">
        <v>50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</row>
    <row r="30" spans="1:14" hidden="1" x14ac:dyDescent="0.2">
      <c r="A30" s="159" t="s">
        <v>90</v>
      </c>
      <c r="B30" s="158">
        <v>0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</row>
    <row r="31" spans="1:14" hidden="1" x14ac:dyDescent="0.2">
      <c r="A31" s="159"/>
      <c r="B31" s="158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  <row r="32" spans="1:14" x14ac:dyDescent="0.2">
      <c r="A32" s="160" t="s">
        <v>5</v>
      </c>
      <c r="B32" s="161">
        <f>SUM(B27:B31)</f>
        <v>1000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</row>
    <row r="33" spans="1:13" x14ac:dyDescent="0.2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</row>
    <row r="34" spans="1:13" ht="15.75" hidden="1" thickBot="1" x14ac:dyDescent="0.3">
      <c r="A34" s="286" t="s">
        <v>202</v>
      </c>
      <c r="B34" s="287"/>
      <c r="C34" s="287"/>
      <c r="D34" s="287"/>
      <c r="E34" s="287"/>
      <c r="F34" s="288"/>
      <c r="G34" s="151"/>
      <c r="H34" s="151"/>
      <c r="I34" s="151"/>
      <c r="J34" s="151"/>
      <c r="K34" s="151"/>
      <c r="L34" s="151"/>
      <c r="M34" s="151"/>
    </row>
    <row r="35" spans="1:13" ht="30" hidden="1" x14ac:dyDescent="0.2">
      <c r="A35" s="96" t="s">
        <v>197</v>
      </c>
      <c r="B35" s="96"/>
      <c r="C35" s="96" t="s">
        <v>32</v>
      </c>
      <c r="D35" s="96" t="s">
        <v>33</v>
      </c>
      <c r="E35" s="96" t="s">
        <v>34</v>
      </c>
      <c r="F35" s="96" t="s">
        <v>35</v>
      </c>
      <c r="G35" s="151">
        <v>0</v>
      </c>
      <c r="H35" s="151"/>
      <c r="I35" s="151"/>
      <c r="J35" s="151"/>
      <c r="K35" s="151"/>
      <c r="L35" s="151"/>
      <c r="M35" s="151"/>
    </row>
    <row r="36" spans="1:13" hidden="1" x14ac:dyDescent="0.2">
      <c r="A36" s="18" t="s">
        <v>62</v>
      </c>
      <c r="B36" s="24"/>
      <c r="C36" s="98" t="s">
        <v>36</v>
      </c>
      <c r="D36" s="6">
        <f>F36/E36</f>
        <v>1.3020833333333333E-3</v>
      </c>
      <c r="E36" s="24">
        <v>35000</v>
      </c>
      <c r="F36" s="26">
        <f>((4+1)*E36*0.025)/(2*4*12)</f>
        <v>45.572916666666664</v>
      </c>
      <c r="G36" s="151"/>
      <c r="H36" s="151"/>
      <c r="I36" s="151"/>
      <c r="J36" s="151"/>
      <c r="K36" s="151"/>
      <c r="L36" s="151"/>
      <c r="M36" s="151"/>
    </row>
    <row r="37" spans="1:13" hidden="1" x14ac:dyDescent="0.2">
      <c r="A37" s="18" t="s">
        <v>59</v>
      </c>
      <c r="B37" s="24"/>
      <c r="C37" s="74" t="s">
        <v>36</v>
      </c>
      <c r="D37" s="6">
        <f>F37/E37</f>
        <v>3.3333333333333335E-3</v>
      </c>
      <c r="E37" s="24">
        <f>E36</f>
        <v>35000</v>
      </c>
      <c r="F37" s="26">
        <f>E37*4%/12</f>
        <v>116.66666666666667</v>
      </c>
      <c r="G37" s="151"/>
      <c r="H37" s="151"/>
      <c r="I37" s="151"/>
      <c r="J37" s="151"/>
      <c r="K37" s="151"/>
      <c r="L37" s="151"/>
      <c r="M37" s="151"/>
    </row>
    <row r="38" spans="1:13" ht="15" hidden="1" x14ac:dyDescent="0.25">
      <c r="A38" s="7" t="s">
        <v>37</v>
      </c>
      <c r="B38" s="24"/>
      <c r="C38" s="98" t="s">
        <v>36</v>
      </c>
      <c r="D38" s="30">
        <f>F38/E38</f>
        <v>3.1250000000000002E-3</v>
      </c>
      <c r="E38" s="34">
        <f>E36</f>
        <v>35000</v>
      </c>
      <c r="F38" s="31">
        <f>((((4+1)*E36)/(2*4))*0.06)/12</f>
        <v>109.375</v>
      </c>
      <c r="G38" s="151"/>
      <c r="H38" s="151"/>
      <c r="I38" s="151"/>
      <c r="J38" s="151"/>
      <c r="K38" s="151"/>
      <c r="L38" s="151"/>
      <c r="M38" s="151"/>
    </row>
    <row r="39" spans="1:13" ht="15" hidden="1" x14ac:dyDescent="0.25">
      <c r="A39" s="7" t="s">
        <v>38</v>
      </c>
      <c r="B39" s="24"/>
      <c r="C39" s="98" t="s">
        <v>36</v>
      </c>
      <c r="D39" s="30">
        <f t="shared" ref="D39:D40" si="10">F39/E39</f>
        <v>2.0791666666666667E-2</v>
      </c>
      <c r="E39" s="34">
        <f>E38</f>
        <v>35000</v>
      </c>
      <c r="F39" s="31">
        <f>((((1-0.2/100)/4))*E39)/12</f>
        <v>727.70833333333337</v>
      </c>
      <c r="G39" s="151"/>
      <c r="H39" s="151"/>
      <c r="I39" s="151"/>
      <c r="J39" s="151"/>
      <c r="K39" s="151"/>
      <c r="L39" s="151"/>
      <c r="M39" s="151"/>
    </row>
    <row r="40" spans="1:13" ht="15" hidden="1" x14ac:dyDescent="0.25">
      <c r="A40" s="7" t="s">
        <v>39</v>
      </c>
      <c r="B40" s="24"/>
      <c r="C40" s="98" t="s">
        <v>36</v>
      </c>
      <c r="D40" s="32">
        <f t="shared" si="10"/>
        <v>1.8749999999999999E-2</v>
      </c>
      <c r="E40" s="33">
        <f>E36</f>
        <v>35000</v>
      </c>
      <c r="F40" s="31">
        <f>0.9*E40/48</f>
        <v>656.25</v>
      </c>
      <c r="G40" s="151"/>
      <c r="H40" s="151"/>
      <c r="I40" s="151"/>
      <c r="J40" s="151"/>
      <c r="K40" s="151"/>
      <c r="L40" s="151"/>
      <c r="M40" s="151"/>
    </row>
    <row r="41" spans="1:13" ht="15" hidden="1" x14ac:dyDescent="0.25">
      <c r="A41" s="7" t="s">
        <v>40</v>
      </c>
      <c r="B41" s="24"/>
      <c r="C41" s="98" t="s">
        <v>36</v>
      </c>
      <c r="D41" s="32">
        <v>5.0000000000000001E-3</v>
      </c>
      <c r="E41" s="33">
        <f>E36</f>
        <v>35000</v>
      </c>
      <c r="F41" s="31">
        <f>E41*D41</f>
        <v>175</v>
      </c>
      <c r="G41" s="151"/>
      <c r="H41" s="151"/>
      <c r="I41" s="151"/>
      <c r="J41" s="151"/>
      <c r="K41" s="151"/>
      <c r="L41" s="151"/>
      <c r="M41" s="151"/>
    </row>
    <row r="42" spans="1:13" ht="15" hidden="1" x14ac:dyDescent="0.25">
      <c r="A42" s="18" t="s">
        <v>198</v>
      </c>
      <c r="B42" s="24"/>
      <c r="C42" s="74" t="s">
        <v>199</v>
      </c>
      <c r="D42" s="32"/>
      <c r="E42" s="33"/>
      <c r="F42" s="31">
        <v>778</v>
      </c>
      <c r="G42" s="151"/>
      <c r="H42" s="151"/>
      <c r="I42" s="151"/>
      <c r="J42" s="151"/>
      <c r="K42" s="151"/>
      <c r="L42" s="151"/>
      <c r="M42" s="151"/>
    </row>
    <row r="43" spans="1:13" hidden="1" x14ac:dyDescent="0.2">
      <c r="A43" s="7" t="s">
        <v>41</v>
      </c>
      <c r="B43" s="24"/>
      <c r="C43" s="98" t="s">
        <v>36</v>
      </c>
      <c r="D43" s="6">
        <v>0.1</v>
      </c>
      <c r="E43" s="24">
        <f>F42</f>
        <v>778</v>
      </c>
      <c r="F43" s="26">
        <f t="shared" ref="F43" si="11">ROUND(D43*E43,2)</f>
        <v>77.8</v>
      </c>
      <c r="G43" s="151"/>
      <c r="H43" s="151"/>
      <c r="I43" s="151"/>
      <c r="J43" s="151"/>
      <c r="K43" s="151"/>
      <c r="L43" s="151"/>
      <c r="M43" s="151"/>
    </row>
    <row r="44" spans="1:13" ht="15" hidden="1" x14ac:dyDescent="0.25">
      <c r="A44" s="8"/>
      <c r="B44" s="22"/>
      <c r="C44" s="22"/>
      <c r="D44" s="22"/>
      <c r="E44" s="22"/>
      <c r="F44" s="25">
        <f>SUM(F36:F43)*G35</f>
        <v>0</v>
      </c>
      <c r="G44" s="151"/>
      <c r="H44" s="151"/>
      <c r="I44" s="151"/>
      <c r="J44" s="151"/>
      <c r="K44" s="151"/>
      <c r="L44" s="151"/>
      <c r="M44" s="151"/>
    </row>
    <row r="45" spans="1:13" hidden="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</row>
    <row r="46" spans="1:13" ht="13.5" thickBot="1" x14ac:dyDescent="0.25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</row>
    <row r="47" spans="1:13" ht="15.75" x14ac:dyDescent="0.2">
      <c r="A47" s="260" t="s">
        <v>43</v>
      </c>
      <c r="B47" s="261"/>
      <c r="C47" s="262"/>
      <c r="D47" s="261"/>
      <c r="E47" s="262"/>
      <c r="F47" s="263" t="s">
        <v>46</v>
      </c>
      <c r="G47" s="663"/>
      <c r="H47" s="664"/>
      <c r="I47" s="151"/>
      <c r="J47" s="151"/>
      <c r="K47" s="151"/>
      <c r="L47" s="151"/>
      <c r="M47" s="151"/>
    </row>
    <row r="48" spans="1:13" ht="15" hidden="1" x14ac:dyDescent="0.2">
      <c r="A48" s="180" t="s">
        <v>44</v>
      </c>
      <c r="B48" s="181"/>
      <c r="C48" s="192"/>
      <c r="D48" s="181"/>
      <c r="E48" s="192"/>
      <c r="F48" s="264">
        <f>M22</f>
        <v>4521.32</v>
      </c>
      <c r="G48" s="669"/>
      <c r="H48" s="670"/>
      <c r="I48" s="151"/>
      <c r="J48" s="151"/>
      <c r="K48" s="151"/>
      <c r="L48" s="151"/>
      <c r="M48" s="151"/>
    </row>
    <row r="49" spans="1:21" ht="15.75" thickBot="1" x14ac:dyDescent="0.25">
      <c r="A49" s="180" t="s">
        <v>86</v>
      </c>
      <c r="B49" s="181"/>
      <c r="C49" s="192"/>
      <c r="D49" s="181"/>
      <c r="E49" s="192"/>
      <c r="F49" s="264">
        <f>B32</f>
        <v>1000</v>
      </c>
      <c r="G49" s="669"/>
      <c r="H49" s="670"/>
      <c r="I49" s="151"/>
      <c r="J49" s="151"/>
      <c r="K49" s="151"/>
      <c r="L49" s="151"/>
      <c r="M49" s="151"/>
    </row>
    <row r="50" spans="1:21" ht="15.75" hidden="1" thickBot="1" x14ac:dyDescent="0.25">
      <c r="A50" s="162" t="s">
        <v>246</v>
      </c>
      <c r="B50" s="163"/>
      <c r="C50" s="164"/>
      <c r="D50" s="163"/>
      <c r="E50" s="164"/>
      <c r="F50" s="265">
        <f>F44</f>
        <v>0</v>
      </c>
      <c r="G50" s="289"/>
      <c r="H50" s="273"/>
      <c r="I50" s="151"/>
      <c r="J50" s="151"/>
      <c r="K50" s="151"/>
      <c r="L50" s="151"/>
      <c r="M50" s="151"/>
    </row>
    <row r="51" spans="1:21" ht="15" x14ac:dyDescent="0.2">
      <c r="A51" s="165"/>
      <c r="B51" s="166"/>
      <c r="C51" s="165"/>
      <c r="D51" s="166"/>
      <c r="E51" s="165"/>
      <c r="F51" s="346">
        <f>SUM(F48:F50)</f>
        <v>5521.32</v>
      </c>
      <c r="G51" s="671"/>
      <c r="H51" s="672"/>
      <c r="I51" s="151"/>
      <c r="J51" s="151"/>
      <c r="K51" s="151"/>
      <c r="L51" s="293"/>
      <c r="M51" s="151"/>
    </row>
    <row r="52" spans="1:21" ht="15.75" x14ac:dyDescent="0.25">
      <c r="B52" s="667" t="s">
        <v>249</v>
      </c>
      <c r="C52" s="667"/>
      <c r="D52" s="667"/>
      <c r="E52" s="347">
        <v>0.6</v>
      </c>
      <c r="F52" s="348">
        <f>F51*E52</f>
        <v>3312.7919999999999</v>
      </c>
    </row>
    <row r="53" spans="1:21" ht="15.75" x14ac:dyDescent="0.25">
      <c r="B53" s="668" t="s">
        <v>250</v>
      </c>
      <c r="C53" s="668"/>
      <c r="D53" s="668"/>
      <c r="E53" s="349">
        <f>1-E52</f>
        <v>0.4</v>
      </c>
      <c r="F53" s="350">
        <f>F51*E53</f>
        <v>2208.5279999999998</v>
      </c>
      <c r="L53" s="291"/>
    </row>
    <row r="54" spans="1:21" x14ac:dyDescent="0.2">
      <c r="L54" s="292"/>
      <c r="T54" s="135"/>
      <c r="U54" s="317"/>
    </row>
    <row r="55" spans="1:21" x14ac:dyDescent="0.2">
      <c r="K55" s="290"/>
      <c r="L55" s="290"/>
      <c r="M55" s="294"/>
      <c r="T55" s="135"/>
      <c r="U55" s="317"/>
    </row>
    <row r="56" spans="1:21" x14ac:dyDescent="0.2">
      <c r="K56" s="290"/>
      <c r="L56" s="290"/>
      <c r="M56" s="294"/>
      <c r="T56" s="135"/>
      <c r="U56" s="317"/>
    </row>
    <row r="57" spans="1:21" x14ac:dyDescent="0.2">
      <c r="A57" s="4" t="str">
        <f>'Orçamento Geral '!$A$22</f>
        <v>Heitorai, 05/2021</v>
      </c>
      <c r="L57" s="290"/>
      <c r="M57" s="135"/>
      <c r="T57" s="135"/>
      <c r="U57" s="317"/>
    </row>
    <row r="58" spans="1:21" x14ac:dyDescent="0.2">
      <c r="L58" s="290"/>
      <c r="M58" s="135"/>
      <c r="T58" s="135"/>
    </row>
    <row r="59" spans="1:21" x14ac:dyDescent="0.2">
      <c r="L59" s="290"/>
      <c r="M59" s="135"/>
      <c r="T59" s="135"/>
    </row>
    <row r="60" spans="1:21" x14ac:dyDescent="0.2">
      <c r="F60" s="135"/>
      <c r="L60" s="290"/>
      <c r="M60" s="135"/>
    </row>
    <row r="61" spans="1:21" x14ac:dyDescent="0.2">
      <c r="L61" s="290"/>
      <c r="M61" s="290"/>
    </row>
    <row r="62" spans="1:21" ht="15" x14ac:dyDescent="0.25">
      <c r="F62" s="474"/>
    </row>
    <row r="63" spans="1:21" ht="15" x14ac:dyDescent="0.25">
      <c r="F63" s="474"/>
    </row>
  </sheetData>
  <mergeCells count="11">
    <mergeCell ref="B52:D52"/>
    <mergeCell ref="B53:D53"/>
    <mergeCell ref="G48:H48"/>
    <mergeCell ref="G49:H49"/>
    <mergeCell ref="G51:H51"/>
    <mergeCell ref="A9:M10"/>
    <mergeCell ref="A11:M11"/>
    <mergeCell ref="A14:M14"/>
    <mergeCell ref="H15:J15"/>
    <mergeCell ref="G47:H47"/>
    <mergeCell ref="A15:B15"/>
  </mergeCells>
  <printOptions horizontalCentered="1"/>
  <pageMargins left="0.78740157480314965" right="0.23622047244094491" top="0.55118110236220474" bottom="0.55118110236220474" header="0.51181102362204722" footer="0.51181102362204722"/>
  <pageSetup paperSize="9" scale="70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opLeftCell="A38" workbookViewId="0">
      <selection activeCell="J104" sqref="J104"/>
    </sheetView>
  </sheetViews>
  <sheetFormatPr defaultRowHeight="12.75" x14ac:dyDescent="0.2"/>
  <cols>
    <col min="1" max="1" width="36.85546875" style="8" customWidth="1"/>
    <col min="2" max="2" width="16.28515625" style="8" customWidth="1"/>
    <col min="3" max="3" width="12.140625" style="8" bestFit="1" customWidth="1"/>
    <col min="4" max="4" width="13.28515625" style="8" bestFit="1" customWidth="1"/>
    <col min="5" max="5" width="13" style="8" customWidth="1"/>
    <col min="6" max="6" width="15.42578125" style="8" customWidth="1"/>
    <col min="7" max="7" width="15.28515625" style="8" customWidth="1"/>
    <col min="8" max="8" width="16.5703125" style="8" customWidth="1"/>
    <col min="9" max="9" width="14.42578125" style="8" customWidth="1"/>
    <col min="10" max="10" width="13.42578125" style="8" customWidth="1"/>
    <col min="11" max="12" width="13.28515625" style="8" bestFit="1" customWidth="1"/>
    <col min="13" max="13" width="26.5703125" style="8" customWidth="1"/>
    <col min="14" max="16384" width="9.140625" style="8"/>
  </cols>
  <sheetData>
    <row r="1" spans="1:10" ht="120.75" customHeight="1" x14ac:dyDescent="0.2"/>
    <row r="2" spans="1:10" ht="41.25" customHeight="1" x14ac:dyDescent="0.2">
      <c r="A2" s="673" t="s">
        <v>405</v>
      </c>
      <c r="B2" s="673"/>
      <c r="C2" s="673"/>
      <c r="D2" s="673"/>
      <c r="E2" s="673"/>
      <c r="F2" s="673"/>
      <c r="G2" s="673"/>
      <c r="H2" s="673"/>
      <c r="I2" s="673"/>
      <c r="J2" s="673"/>
    </row>
    <row r="3" spans="1:10" x14ac:dyDescent="0.2">
      <c r="A3" s="7" t="s">
        <v>320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2">
      <c r="A4" s="7" t="s">
        <v>321</v>
      </c>
      <c r="B4" s="7"/>
      <c r="C4" s="7"/>
      <c r="D4" s="7"/>
      <c r="E4" s="7"/>
      <c r="F4" s="7"/>
      <c r="G4" s="7"/>
      <c r="H4" s="7"/>
      <c r="I4" s="7"/>
      <c r="J4" s="7"/>
    </row>
    <row r="5" spans="1:10" ht="25.5" hidden="1" x14ac:dyDescent="0.2">
      <c r="A5" s="674" t="s">
        <v>322</v>
      </c>
      <c r="B5" s="674" t="s">
        <v>323</v>
      </c>
      <c r="C5" s="674" t="s">
        <v>324</v>
      </c>
      <c r="D5" s="674"/>
      <c r="E5" s="674" t="s">
        <v>325</v>
      </c>
      <c r="F5" s="675" t="s">
        <v>326</v>
      </c>
      <c r="G5" s="675" t="s">
        <v>327</v>
      </c>
      <c r="H5" s="519" t="s">
        <v>328</v>
      </c>
      <c r="I5" s="519" t="s">
        <v>329</v>
      </c>
      <c r="J5" s="520"/>
    </row>
    <row r="6" spans="1:10" hidden="1" x14ac:dyDescent="0.2">
      <c r="A6" s="674"/>
      <c r="B6" s="674"/>
      <c r="C6" s="674"/>
      <c r="D6" s="674"/>
      <c r="E6" s="674"/>
      <c r="F6" s="675"/>
      <c r="G6" s="675"/>
      <c r="H6" s="520" t="s">
        <v>330</v>
      </c>
      <c r="I6" s="676" t="s">
        <v>331</v>
      </c>
      <c r="J6" s="676"/>
    </row>
    <row r="7" spans="1:10" hidden="1" x14ac:dyDescent="0.2">
      <c r="A7" s="7" t="s">
        <v>332</v>
      </c>
      <c r="B7" s="521" t="s">
        <v>333</v>
      </c>
      <c r="C7" s="522">
        <v>0</v>
      </c>
      <c r="D7" s="7"/>
      <c r="E7" s="7"/>
      <c r="F7" s="459">
        <f>'[6]TRATOR ROÇAGEM'!E8</f>
        <v>110000</v>
      </c>
      <c r="G7" s="459">
        <f>F7</f>
        <v>110000</v>
      </c>
      <c r="H7" s="459">
        <f>G7*0.031547</f>
        <v>3470.17</v>
      </c>
      <c r="I7" s="459">
        <v>1171.8</v>
      </c>
      <c r="J7" s="459">
        <f>(H7+I7)*C7</f>
        <v>0</v>
      </c>
    </row>
    <row r="8" spans="1:10" hidden="1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idden="1" x14ac:dyDescent="0.2">
      <c r="A9" s="7" t="s">
        <v>334</v>
      </c>
      <c r="B9" s="7"/>
      <c r="C9" s="7"/>
      <c r="D9" s="7"/>
      <c r="E9" s="7"/>
      <c r="F9" s="7"/>
      <c r="G9" s="7"/>
      <c r="H9" s="7"/>
      <c r="I9" s="7"/>
      <c r="J9" s="523">
        <f>J7</f>
        <v>0</v>
      </c>
    </row>
    <row r="10" spans="1:10" hidden="1" x14ac:dyDescent="0.2">
      <c r="A10" s="677"/>
      <c r="B10" s="677"/>
      <c r="C10" s="677"/>
      <c r="D10" s="677"/>
      <c r="E10" s="677"/>
      <c r="F10" s="677"/>
      <c r="G10" s="677"/>
      <c r="H10" s="677"/>
      <c r="I10" s="677"/>
      <c r="J10" s="677"/>
    </row>
    <row r="11" spans="1:10" x14ac:dyDescent="0.2">
      <c r="A11" s="7" t="s">
        <v>335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25.5" x14ac:dyDescent="0.2">
      <c r="A12" s="674" t="s">
        <v>322</v>
      </c>
      <c r="B12" s="674" t="s">
        <v>323</v>
      </c>
      <c r="C12" s="675" t="s">
        <v>336</v>
      </c>
      <c r="D12" s="674"/>
      <c r="E12" s="674" t="s">
        <v>325</v>
      </c>
      <c r="F12" s="675" t="s">
        <v>326</v>
      </c>
      <c r="G12" s="675" t="s">
        <v>337</v>
      </c>
      <c r="H12" s="519" t="s">
        <v>328</v>
      </c>
      <c r="I12" s="519"/>
      <c r="J12" s="520"/>
    </row>
    <row r="13" spans="1:10" x14ac:dyDescent="0.2">
      <c r="A13" s="674"/>
      <c r="B13" s="674"/>
      <c r="C13" s="675"/>
      <c r="D13" s="674"/>
      <c r="E13" s="674"/>
      <c r="F13" s="675"/>
      <c r="G13" s="675"/>
      <c r="H13" s="520" t="s">
        <v>330</v>
      </c>
      <c r="I13" s="676"/>
      <c r="J13" s="676"/>
    </row>
    <row r="14" spans="1:10" x14ac:dyDescent="0.2">
      <c r="A14" s="520" t="s">
        <v>338</v>
      </c>
      <c r="B14" s="522" t="s">
        <v>339</v>
      </c>
      <c r="C14" s="533">
        <v>5</v>
      </c>
      <c r="D14" s="520"/>
      <c r="E14" s="520"/>
      <c r="F14" s="524">
        <v>1500</v>
      </c>
      <c r="G14" s="520">
        <v>18</v>
      </c>
      <c r="H14" s="459">
        <f>F14/G14</f>
        <v>83.333333333333329</v>
      </c>
      <c r="I14" s="459"/>
      <c r="J14" s="459">
        <f>H14*C14</f>
        <v>416.66666666666663</v>
      </c>
    </row>
    <row r="15" spans="1:10" x14ac:dyDescent="0.2">
      <c r="A15" s="534" t="s">
        <v>403</v>
      </c>
      <c r="B15" s="522" t="s">
        <v>339</v>
      </c>
      <c r="C15" s="533">
        <v>1</v>
      </c>
      <c r="D15" s="520"/>
      <c r="E15" s="520"/>
      <c r="F15" s="524">
        <v>2500</v>
      </c>
      <c r="G15" s="520">
        <f>G14</f>
        <v>18</v>
      </c>
      <c r="H15" s="459">
        <f>F15/G15</f>
        <v>138.88888888888889</v>
      </c>
      <c r="I15" s="459"/>
      <c r="J15" s="459">
        <f>H15*C15</f>
        <v>138.88888888888889</v>
      </c>
    </row>
    <row r="16" spans="1:10" x14ac:dyDescent="0.2">
      <c r="A16" s="534" t="s">
        <v>404</v>
      </c>
      <c r="B16" s="522" t="s">
        <v>339</v>
      </c>
      <c r="C16" s="533">
        <v>1</v>
      </c>
      <c r="D16" s="520"/>
      <c r="E16" s="520"/>
      <c r="F16" s="524">
        <v>2000</v>
      </c>
      <c r="G16" s="520">
        <f t="shared" ref="G16" si="0">G15</f>
        <v>18</v>
      </c>
      <c r="H16" s="459">
        <f>F16/G16</f>
        <v>111.11111111111111</v>
      </c>
      <c r="I16" s="459"/>
      <c r="J16" s="459">
        <f>H16*C16</f>
        <v>111.11111111111111</v>
      </c>
    </row>
    <row r="17" spans="1:16" hidden="1" x14ac:dyDescent="0.2">
      <c r="A17" s="534" t="s">
        <v>407</v>
      </c>
      <c r="B17" s="86" t="s">
        <v>408</v>
      </c>
      <c r="C17" s="533">
        <v>0</v>
      </c>
      <c r="D17" s="520"/>
      <c r="E17" s="520"/>
      <c r="F17" s="524">
        <v>1600</v>
      </c>
      <c r="G17" s="520">
        <v>24</v>
      </c>
      <c r="H17" s="459">
        <f>F17/G17</f>
        <v>66.666666666666671</v>
      </c>
      <c r="I17" s="459"/>
      <c r="J17" s="459">
        <f>H17*C17</f>
        <v>0</v>
      </c>
    </row>
    <row r="18" spans="1:16" x14ac:dyDescent="0.2">
      <c r="A18" s="7" t="s">
        <v>340</v>
      </c>
      <c r="B18" s="7"/>
      <c r="C18" s="7"/>
      <c r="D18" s="7"/>
      <c r="E18" s="7"/>
      <c r="F18" s="7"/>
      <c r="G18" s="7"/>
      <c r="H18" s="7"/>
      <c r="I18" s="7"/>
      <c r="J18" s="523">
        <f>J14+J15+J16+J17</f>
        <v>666.66666666666663</v>
      </c>
    </row>
    <row r="19" spans="1:16" ht="15" x14ac:dyDescent="0.25">
      <c r="A19" s="678" t="s">
        <v>414</v>
      </c>
      <c r="B19" s="678"/>
      <c r="C19" s="678"/>
      <c r="D19" s="678"/>
      <c r="E19" s="678"/>
      <c r="F19" s="678"/>
      <c r="G19" s="678"/>
      <c r="H19" s="678"/>
      <c r="I19" s="678"/>
      <c r="J19" s="525">
        <f>J9+J18</f>
        <v>666.66666666666663</v>
      </c>
    </row>
    <row r="20" spans="1:16" x14ac:dyDescent="0.2">
      <c r="A20" s="677"/>
      <c r="B20" s="677"/>
      <c r="C20" s="677"/>
      <c r="D20" s="677"/>
      <c r="E20" s="677"/>
      <c r="F20" s="677"/>
      <c r="G20" s="677"/>
      <c r="H20" s="677"/>
      <c r="I20" s="677"/>
      <c r="J20" s="677"/>
    </row>
    <row r="21" spans="1:16" x14ac:dyDescent="0.2">
      <c r="A21" s="7" t="s">
        <v>341</v>
      </c>
      <c r="B21" s="7"/>
      <c r="C21" s="7"/>
      <c r="D21" s="7"/>
      <c r="E21" s="7"/>
      <c r="F21" s="7"/>
      <c r="G21" s="7"/>
      <c r="H21" s="7"/>
      <c r="I21" s="7"/>
      <c r="J21" s="7"/>
    </row>
    <row r="22" spans="1:16" ht="30" customHeight="1" x14ac:dyDescent="0.2">
      <c r="A22" s="7" t="s">
        <v>342</v>
      </c>
      <c r="B22" s="7"/>
      <c r="C22" s="7"/>
      <c r="D22" s="7"/>
      <c r="E22" s="7"/>
      <c r="F22" s="7"/>
      <c r="G22" s="7"/>
      <c r="H22" s="7"/>
      <c r="I22" s="7"/>
      <c r="J22" s="7"/>
    </row>
    <row r="23" spans="1:16" ht="25.5" x14ac:dyDescent="0.2">
      <c r="A23" s="674" t="s">
        <v>19</v>
      </c>
      <c r="B23" s="674" t="s">
        <v>343</v>
      </c>
      <c r="C23" s="675" t="s">
        <v>344</v>
      </c>
      <c r="D23" s="675" t="s">
        <v>345</v>
      </c>
      <c r="E23" s="675" t="s">
        <v>346</v>
      </c>
      <c r="F23" s="675" t="s">
        <v>347</v>
      </c>
      <c r="G23" s="675" t="s">
        <v>348</v>
      </c>
      <c r="H23" s="674" t="s">
        <v>349</v>
      </c>
      <c r="I23" s="674"/>
      <c r="J23" s="521" t="s">
        <v>329</v>
      </c>
    </row>
    <row r="24" spans="1:16" x14ac:dyDescent="0.2">
      <c r="A24" s="674"/>
      <c r="B24" s="674"/>
      <c r="C24" s="675"/>
      <c r="D24" s="675"/>
      <c r="E24" s="675"/>
      <c r="F24" s="675"/>
      <c r="G24" s="675"/>
      <c r="H24" s="522" t="s">
        <v>350</v>
      </c>
      <c r="I24" s="522"/>
      <c r="J24" s="7"/>
    </row>
    <row r="25" spans="1:16" hidden="1" x14ac:dyDescent="0.2">
      <c r="A25" s="7" t="s">
        <v>351</v>
      </c>
      <c r="B25" s="522"/>
      <c r="C25" s="459"/>
      <c r="D25" s="459">
        <f>C25*0.2</f>
        <v>0</v>
      </c>
      <c r="E25" s="459">
        <f>C25+D25</f>
        <v>0</v>
      </c>
      <c r="F25" s="459"/>
      <c r="G25" s="459">
        <f>C25*0.6656</f>
        <v>0</v>
      </c>
      <c r="H25" s="459">
        <f>E25+G25+F25</f>
        <v>0</v>
      </c>
      <c r="I25" s="459"/>
      <c r="J25" s="459">
        <f>B25*H25</f>
        <v>0</v>
      </c>
    </row>
    <row r="26" spans="1:16" x14ac:dyDescent="0.2">
      <c r="A26" s="7" t="s">
        <v>12</v>
      </c>
      <c r="B26" s="544">
        <v>4</v>
      </c>
      <c r="C26" s="459">
        <f>VARRIÇÃO!D36</f>
        <v>1179.92</v>
      </c>
      <c r="D26" s="543"/>
      <c r="E26" s="459">
        <f>C26+D26</f>
        <v>1179.92</v>
      </c>
      <c r="F26" s="459">
        <f>VARRIÇÃO!I36</f>
        <v>339.28005119999995</v>
      </c>
      <c r="G26" s="459">
        <f>C26*75.89%</f>
        <v>895.4412880000001</v>
      </c>
      <c r="H26" s="459">
        <f>E26+G26+F26</f>
        <v>2414.6413391999999</v>
      </c>
      <c r="I26" s="459"/>
      <c r="J26" s="459">
        <f>B26*H26</f>
        <v>9658.5653567999998</v>
      </c>
    </row>
    <row r="27" spans="1:16" x14ac:dyDescent="0.2">
      <c r="A27" s="7" t="s">
        <v>427</v>
      </c>
      <c r="B27" s="544">
        <v>8</v>
      </c>
      <c r="C27" s="459">
        <f>C26</f>
        <v>1179.92</v>
      </c>
      <c r="D27" s="543"/>
      <c r="E27" s="459">
        <f>C27+D27</f>
        <v>1179.92</v>
      </c>
      <c r="F27" s="459">
        <f>F26</f>
        <v>339.28005119999995</v>
      </c>
      <c r="G27" s="459">
        <f>C27*75.89%</f>
        <v>895.4412880000001</v>
      </c>
      <c r="H27" s="459">
        <f>E27+G27+F27</f>
        <v>2414.6413391999999</v>
      </c>
      <c r="I27" s="459"/>
      <c r="J27" s="459">
        <f>B27*H27</f>
        <v>19317.1307136</v>
      </c>
    </row>
    <row r="28" spans="1:16" ht="15" x14ac:dyDescent="0.2">
      <c r="A28" s="18" t="s">
        <v>405</v>
      </c>
      <c r="B28" s="129">
        <v>7</v>
      </c>
      <c r="C28" s="459">
        <f>VARRIÇÃO!D36</f>
        <v>1179.92</v>
      </c>
      <c r="D28" s="535"/>
      <c r="E28" s="459">
        <f>C28+D28</f>
        <v>1179.92</v>
      </c>
      <c r="F28" s="459">
        <f>VARRIÇÃO!I38</f>
        <v>339.28005119999995</v>
      </c>
      <c r="G28" s="459">
        <f>C28*75.89%</f>
        <v>895.4412880000001</v>
      </c>
      <c r="H28" s="459">
        <f>E28+G28+F28</f>
        <v>2414.6413391999999</v>
      </c>
      <c r="I28" s="459"/>
      <c r="J28" s="459">
        <f>B28*H28</f>
        <v>16902.4893744</v>
      </c>
    </row>
    <row r="29" spans="1:16" x14ac:dyDescent="0.2">
      <c r="A29" s="7" t="s">
        <v>421</v>
      </c>
      <c r="B29" s="544">
        <f>SUM(B26:B28)</f>
        <v>19</v>
      </c>
      <c r="C29" s="459"/>
      <c r="D29" s="459"/>
      <c r="E29" s="459"/>
      <c r="F29" s="459"/>
      <c r="G29" s="459"/>
      <c r="H29" s="459"/>
      <c r="I29" s="459"/>
      <c r="J29" s="459">
        <f>SUM(J25:J28)</f>
        <v>45878.185444800001</v>
      </c>
    </row>
    <row r="30" spans="1:16" x14ac:dyDescent="0.2">
      <c r="A30" s="679"/>
      <c r="B30" s="679"/>
      <c r="C30" s="679"/>
      <c r="D30" s="679"/>
      <c r="E30" s="679"/>
      <c r="F30" s="679"/>
      <c r="G30" s="679"/>
      <c r="H30" s="679"/>
      <c r="I30" s="679"/>
      <c r="J30" s="679"/>
    </row>
    <row r="31" spans="1:16" hidden="1" x14ac:dyDescent="0.2">
      <c r="A31" s="7" t="s">
        <v>353</v>
      </c>
      <c r="B31" s="7"/>
      <c r="C31" s="7"/>
      <c r="D31" s="7"/>
      <c r="E31" s="7"/>
      <c r="F31" s="7"/>
      <c r="G31" s="7"/>
      <c r="H31" s="7"/>
      <c r="I31" s="7"/>
      <c r="J31" s="7"/>
    </row>
    <row r="32" spans="1:16" ht="25.5" hidden="1" x14ac:dyDescent="0.2">
      <c r="A32" s="674" t="s">
        <v>19</v>
      </c>
      <c r="B32" s="674" t="s">
        <v>343</v>
      </c>
      <c r="C32" s="675" t="s">
        <v>344</v>
      </c>
      <c r="D32" s="675" t="s">
        <v>345</v>
      </c>
      <c r="E32" s="675" t="s">
        <v>346</v>
      </c>
      <c r="F32" s="675" t="s">
        <v>347</v>
      </c>
      <c r="G32" s="675" t="s">
        <v>348</v>
      </c>
      <c r="H32" s="674" t="s">
        <v>349</v>
      </c>
      <c r="I32" s="674"/>
      <c r="J32" s="521" t="s">
        <v>329</v>
      </c>
      <c r="L32" s="680" t="s">
        <v>354</v>
      </c>
      <c r="M32" s="680"/>
      <c r="N32" s="680"/>
      <c r="O32" s="680"/>
      <c r="P32" s="680"/>
    </row>
    <row r="33" spans="1:16" hidden="1" x14ac:dyDescent="0.2">
      <c r="A33" s="674"/>
      <c r="B33" s="674"/>
      <c r="C33" s="675"/>
      <c r="D33" s="675"/>
      <c r="E33" s="675"/>
      <c r="F33" s="675"/>
      <c r="G33" s="675"/>
      <c r="H33" s="522" t="s">
        <v>350</v>
      </c>
      <c r="I33" s="522"/>
      <c r="J33" s="7"/>
      <c r="L33" s="680"/>
      <c r="M33" s="680"/>
      <c r="N33" s="680"/>
      <c r="O33" s="680"/>
      <c r="P33" s="680"/>
    </row>
    <row r="34" spans="1:16" hidden="1" x14ac:dyDescent="0.2">
      <c r="A34" s="7"/>
      <c r="B34" s="522"/>
      <c r="C34" s="459"/>
      <c r="D34" s="459"/>
      <c r="E34" s="459"/>
      <c r="F34" s="459"/>
      <c r="G34" s="459"/>
      <c r="H34" s="459"/>
      <c r="I34" s="459"/>
      <c r="J34" s="459"/>
      <c r="L34" s="680"/>
      <c r="M34" s="680"/>
      <c r="N34" s="680"/>
      <c r="O34" s="680"/>
      <c r="P34" s="680"/>
    </row>
    <row r="35" spans="1:16" hidden="1" x14ac:dyDescent="0.2">
      <c r="A35" s="7"/>
      <c r="B35" s="522"/>
      <c r="C35" s="459"/>
      <c r="D35" s="459"/>
      <c r="E35" s="459"/>
      <c r="F35" s="459"/>
      <c r="G35" s="459"/>
      <c r="H35" s="459"/>
      <c r="I35" s="459"/>
      <c r="J35" s="459"/>
      <c r="L35" s="680"/>
      <c r="M35" s="680"/>
      <c r="N35" s="680"/>
      <c r="O35" s="680"/>
      <c r="P35" s="680"/>
    </row>
    <row r="36" spans="1:16" hidden="1" x14ac:dyDescent="0.2">
      <c r="A36" s="7" t="s">
        <v>355</v>
      </c>
      <c r="B36" s="522"/>
      <c r="C36" s="459"/>
      <c r="D36" s="459"/>
      <c r="E36" s="459"/>
      <c r="F36" s="459"/>
      <c r="G36" s="459"/>
      <c r="H36" s="459"/>
      <c r="I36" s="459"/>
      <c r="J36" s="459">
        <f>J34+J35</f>
        <v>0</v>
      </c>
      <c r="L36" s="680"/>
      <c r="M36" s="680"/>
      <c r="N36" s="680"/>
      <c r="O36" s="680"/>
      <c r="P36" s="680"/>
    </row>
    <row r="37" spans="1:16" hidden="1" x14ac:dyDescent="0.2">
      <c r="A37" s="679" t="s">
        <v>352</v>
      </c>
      <c r="B37" s="679"/>
      <c r="C37" s="679"/>
      <c r="D37" s="679"/>
      <c r="E37" s="679"/>
      <c r="F37" s="679"/>
      <c r="G37" s="679"/>
      <c r="H37" s="679"/>
      <c r="I37" s="679"/>
      <c r="J37" s="679"/>
      <c r="L37" s="680"/>
      <c r="M37" s="680"/>
      <c r="N37" s="680"/>
      <c r="O37" s="680"/>
      <c r="P37" s="680"/>
    </row>
    <row r="38" spans="1:16" x14ac:dyDescent="0.2">
      <c r="A38" s="676" t="s">
        <v>415</v>
      </c>
      <c r="B38" s="676"/>
      <c r="C38" s="676"/>
      <c r="D38" s="676"/>
      <c r="E38" s="676"/>
      <c r="F38" s="676"/>
      <c r="G38" s="676"/>
      <c r="H38" s="676"/>
      <c r="I38" s="676"/>
      <c r="J38" s="676"/>
    </row>
    <row r="39" spans="1:16" x14ac:dyDescent="0.2">
      <c r="A39" s="679"/>
      <c r="B39" s="679"/>
      <c r="C39" s="679"/>
      <c r="D39" s="679"/>
      <c r="E39" s="679"/>
      <c r="F39" s="679"/>
      <c r="G39" s="679"/>
      <c r="H39" s="679"/>
      <c r="I39" s="679"/>
      <c r="J39" s="679"/>
    </row>
    <row r="40" spans="1:16" x14ac:dyDescent="0.2">
      <c r="A40" s="7" t="s">
        <v>421</v>
      </c>
      <c r="B40" s="522"/>
      <c r="C40" s="459"/>
      <c r="D40" s="459"/>
      <c r="E40" s="459"/>
      <c r="F40" s="459"/>
      <c r="G40" s="459"/>
      <c r="H40" s="459"/>
      <c r="I40" s="459"/>
      <c r="J40" s="459">
        <f>'[6]COMP. CUSTOS EPI`S ROÇAGEM'!E53</f>
        <v>778.19166666666672</v>
      </c>
    </row>
    <row r="41" spans="1:16" ht="15" x14ac:dyDescent="0.25">
      <c r="A41" s="678" t="s">
        <v>418</v>
      </c>
      <c r="B41" s="678"/>
      <c r="C41" s="678"/>
      <c r="D41" s="678"/>
      <c r="E41" s="678"/>
      <c r="F41" s="678"/>
      <c r="G41" s="678"/>
      <c r="H41" s="678"/>
      <c r="I41" s="678"/>
      <c r="J41" s="525">
        <f>J29+J36+J40</f>
        <v>46656.377111466667</v>
      </c>
    </row>
    <row r="42" spans="1:16" x14ac:dyDescent="0.2">
      <c r="A42" s="7" t="s">
        <v>416</v>
      </c>
      <c r="B42" s="7"/>
      <c r="C42" s="7"/>
      <c r="D42" s="7"/>
      <c r="E42" s="7"/>
      <c r="F42" s="7"/>
      <c r="G42" s="7"/>
      <c r="H42" s="7"/>
      <c r="I42" s="7"/>
      <c r="J42" s="7"/>
    </row>
    <row r="43" spans="1:16" ht="25.5" hidden="1" x14ac:dyDescent="0.2">
      <c r="A43" s="674" t="s">
        <v>322</v>
      </c>
      <c r="B43" s="675" t="s">
        <v>356</v>
      </c>
      <c r="C43" s="675" t="s">
        <v>357</v>
      </c>
      <c r="D43" s="675" t="s">
        <v>358</v>
      </c>
      <c r="E43" s="681" t="s">
        <v>359</v>
      </c>
      <c r="F43" s="682"/>
      <c r="G43" s="675" t="s">
        <v>360</v>
      </c>
      <c r="H43" s="675"/>
      <c r="I43" s="675"/>
      <c r="J43" s="521" t="s">
        <v>329</v>
      </c>
    </row>
    <row r="44" spans="1:16" hidden="1" x14ac:dyDescent="0.2">
      <c r="A44" s="674"/>
      <c r="B44" s="675"/>
      <c r="C44" s="675"/>
      <c r="D44" s="675"/>
      <c r="E44" s="521" t="s">
        <v>361</v>
      </c>
      <c r="F44" s="519"/>
      <c r="G44" s="519" t="s">
        <v>333</v>
      </c>
      <c r="H44" s="519"/>
      <c r="I44" s="519"/>
      <c r="J44" s="7"/>
    </row>
    <row r="45" spans="1:16" hidden="1" x14ac:dyDescent="0.2">
      <c r="A45" s="526" t="s">
        <v>31</v>
      </c>
      <c r="B45" s="527">
        <v>4.28</v>
      </c>
      <c r="C45" s="528">
        <v>500</v>
      </c>
      <c r="D45" s="528">
        <v>1</v>
      </c>
      <c r="E45" s="528">
        <f>C45/D45</f>
        <v>500</v>
      </c>
      <c r="F45" s="519"/>
      <c r="G45" s="519">
        <v>0</v>
      </c>
      <c r="H45" s="519"/>
      <c r="I45" s="519"/>
      <c r="J45" s="523">
        <f>B45*E45*G45</f>
        <v>0</v>
      </c>
    </row>
    <row r="46" spans="1:16" hidden="1" x14ac:dyDescent="0.2">
      <c r="A46" s="526" t="s">
        <v>362</v>
      </c>
      <c r="B46" s="527">
        <v>24</v>
      </c>
      <c r="C46" s="528">
        <v>500</v>
      </c>
      <c r="D46" s="528">
        <v>10000</v>
      </c>
      <c r="E46" s="528">
        <f t="shared" ref="E46:E50" si="1">C46/D46</f>
        <v>0.05</v>
      </c>
      <c r="F46" s="519"/>
      <c r="G46" s="519">
        <f>$G$45</f>
        <v>0</v>
      </c>
      <c r="H46" s="519"/>
      <c r="I46" s="519"/>
      <c r="J46" s="523">
        <f t="shared" ref="J46:J50" si="2">B46*E46*G46</f>
        <v>0</v>
      </c>
    </row>
    <row r="47" spans="1:16" hidden="1" x14ac:dyDescent="0.2">
      <c r="A47" s="526" t="s">
        <v>363</v>
      </c>
      <c r="B47" s="527">
        <v>25</v>
      </c>
      <c r="C47" s="528">
        <v>500</v>
      </c>
      <c r="D47" s="528">
        <v>15000</v>
      </c>
      <c r="E47" s="528">
        <f t="shared" si="1"/>
        <v>3.3333333333333333E-2</v>
      </c>
      <c r="F47" s="519"/>
      <c r="G47" s="519">
        <f t="shared" ref="G47:G50" si="3">$G$45</f>
        <v>0</v>
      </c>
      <c r="H47" s="519"/>
      <c r="I47" s="519"/>
      <c r="J47" s="523">
        <f t="shared" si="2"/>
        <v>0</v>
      </c>
    </row>
    <row r="48" spans="1:16" hidden="1" x14ac:dyDescent="0.2">
      <c r="A48" s="526" t="s">
        <v>364</v>
      </c>
      <c r="B48" s="527">
        <v>28</v>
      </c>
      <c r="C48" s="528">
        <v>500</v>
      </c>
      <c r="D48" s="528">
        <v>15000</v>
      </c>
      <c r="E48" s="528">
        <f t="shared" si="1"/>
        <v>3.3333333333333333E-2</v>
      </c>
      <c r="F48" s="519"/>
      <c r="G48" s="519">
        <f t="shared" si="3"/>
        <v>0</v>
      </c>
      <c r="H48" s="519"/>
      <c r="I48" s="519"/>
      <c r="J48" s="523">
        <f t="shared" si="2"/>
        <v>0</v>
      </c>
    </row>
    <row r="49" spans="1:10" hidden="1" x14ac:dyDescent="0.2">
      <c r="A49" s="7" t="s">
        <v>365</v>
      </c>
      <c r="B49" s="459">
        <v>44</v>
      </c>
      <c r="C49" s="528">
        <v>500</v>
      </c>
      <c r="D49" s="529">
        <v>10000</v>
      </c>
      <c r="E49" s="528">
        <f t="shared" si="1"/>
        <v>0.05</v>
      </c>
      <c r="F49" s="459"/>
      <c r="G49" s="519">
        <f t="shared" si="3"/>
        <v>0</v>
      </c>
      <c r="H49" s="459"/>
      <c r="I49" s="459"/>
      <c r="J49" s="523">
        <f t="shared" si="2"/>
        <v>0</v>
      </c>
    </row>
    <row r="50" spans="1:10" hidden="1" x14ac:dyDescent="0.2">
      <c r="A50" s="7" t="s">
        <v>366</v>
      </c>
      <c r="B50" s="459">
        <v>17</v>
      </c>
      <c r="C50" s="528">
        <v>500</v>
      </c>
      <c r="D50" s="529">
        <v>20000</v>
      </c>
      <c r="E50" s="528">
        <f t="shared" si="1"/>
        <v>2.5000000000000001E-2</v>
      </c>
      <c r="F50" s="459"/>
      <c r="G50" s="519">
        <f t="shared" si="3"/>
        <v>0</v>
      </c>
      <c r="H50" s="459"/>
      <c r="I50" s="459"/>
      <c r="J50" s="523">
        <f t="shared" si="2"/>
        <v>0</v>
      </c>
    </row>
    <row r="51" spans="1:10" ht="25.5" x14ac:dyDescent="0.2">
      <c r="A51" s="674" t="s">
        <v>322</v>
      </c>
      <c r="B51" s="675" t="s">
        <v>356</v>
      </c>
      <c r="C51" s="675" t="s">
        <v>367</v>
      </c>
      <c r="D51" s="675" t="s">
        <v>368</v>
      </c>
      <c r="E51" s="681" t="s">
        <v>359</v>
      </c>
      <c r="F51" s="682"/>
      <c r="G51" s="675" t="s">
        <v>360</v>
      </c>
      <c r="H51" s="675"/>
      <c r="I51" s="675"/>
      <c r="J51" s="521" t="s">
        <v>329</v>
      </c>
    </row>
    <row r="52" spans="1:10" x14ac:dyDescent="0.2">
      <c r="A52" s="674"/>
      <c r="B52" s="675"/>
      <c r="C52" s="675"/>
      <c r="D52" s="675"/>
      <c r="E52" s="521" t="s">
        <v>361</v>
      </c>
      <c r="F52" s="519"/>
      <c r="G52" s="519"/>
      <c r="H52" s="519" t="s">
        <v>369</v>
      </c>
      <c r="I52" s="519"/>
      <c r="J52" s="7"/>
    </row>
    <row r="53" spans="1:10" x14ac:dyDescent="0.2">
      <c r="A53" s="7" t="s">
        <v>370</v>
      </c>
      <c r="B53" s="459">
        <v>6</v>
      </c>
      <c r="C53" s="528">
        <f>6*20</f>
        <v>120</v>
      </c>
      <c r="D53" s="529">
        <v>1.2</v>
      </c>
      <c r="E53" s="528">
        <f>C53*D53</f>
        <v>144</v>
      </c>
      <c r="F53" s="459"/>
      <c r="G53" s="459"/>
      <c r="H53" s="530">
        <f>C14+C15+C16</f>
        <v>7</v>
      </c>
      <c r="I53" s="459"/>
      <c r="J53" s="523">
        <f>B53*E53*H53</f>
        <v>6048</v>
      </c>
    </row>
    <row r="54" spans="1:10" x14ac:dyDescent="0.2">
      <c r="A54" s="7" t="s">
        <v>371</v>
      </c>
      <c r="B54" s="459">
        <v>35</v>
      </c>
      <c r="C54" s="528">
        <f>C53</f>
        <v>120</v>
      </c>
      <c r="D54" s="529">
        <f>D53/25</f>
        <v>4.8000000000000001E-2</v>
      </c>
      <c r="E54" s="528">
        <f>C54*D54</f>
        <v>5.76</v>
      </c>
      <c r="F54" s="459"/>
      <c r="G54" s="459"/>
      <c r="H54" s="530">
        <f>H53</f>
        <v>7</v>
      </c>
      <c r="I54" s="459"/>
      <c r="J54" s="523">
        <f>B54*E54*H54</f>
        <v>1411.2</v>
      </c>
    </row>
    <row r="55" spans="1:10" x14ac:dyDescent="0.2">
      <c r="A55" s="7" t="s">
        <v>420</v>
      </c>
      <c r="B55" s="522"/>
      <c r="C55" s="459"/>
      <c r="D55" s="459"/>
      <c r="E55" s="459"/>
      <c r="F55" s="459"/>
      <c r="G55" s="459"/>
      <c r="H55" s="459"/>
      <c r="I55" s="459"/>
      <c r="J55" s="459">
        <f>SUM(J52:J54)</f>
        <v>7459.2</v>
      </c>
    </row>
    <row r="56" spans="1:10" x14ac:dyDescent="0.2">
      <c r="A56" s="7" t="s">
        <v>419</v>
      </c>
      <c r="B56" s="7"/>
      <c r="C56" s="7"/>
      <c r="D56" s="7"/>
      <c r="E56" s="7"/>
      <c r="F56" s="7"/>
      <c r="G56" s="7"/>
      <c r="H56" s="7"/>
      <c r="I56" s="7"/>
      <c r="J56" s="7"/>
    </row>
    <row r="57" spans="1:10" ht="25.5" hidden="1" x14ac:dyDescent="0.2">
      <c r="A57" s="684" t="s">
        <v>407</v>
      </c>
      <c r="B57" s="685"/>
      <c r="C57" s="686"/>
      <c r="D57" s="686"/>
      <c r="E57" s="686"/>
      <c r="F57" s="686"/>
      <c r="G57" s="686"/>
      <c r="H57" s="686"/>
      <c r="I57" s="687"/>
      <c r="J57" s="521" t="s">
        <v>329</v>
      </c>
    </row>
    <row r="58" spans="1:10" hidden="1" x14ac:dyDescent="0.2">
      <c r="A58" s="674"/>
      <c r="B58" s="688"/>
      <c r="C58" s="689"/>
      <c r="D58" s="689"/>
      <c r="E58" s="689"/>
      <c r="F58" s="689"/>
      <c r="G58" s="689"/>
      <c r="H58" s="689"/>
      <c r="I58" s="690"/>
      <c r="J58" s="7"/>
    </row>
    <row r="59" spans="1:10" hidden="1" x14ac:dyDescent="0.2">
      <c r="A59" s="526" t="s">
        <v>372</v>
      </c>
      <c r="B59" s="527"/>
      <c r="C59" s="521"/>
      <c r="D59" s="528"/>
      <c r="E59" s="531"/>
      <c r="F59" s="531"/>
      <c r="G59" s="531"/>
      <c r="H59" s="531"/>
      <c r="I59" s="531"/>
      <c r="J59" s="523">
        <f>'[6]TRATOR ROÇAGEM'!D83*G45</f>
        <v>0</v>
      </c>
    </row>
    <row r="60" spans="1:10" hidden="1" x14ac:dyDescent="0.2">
      <c r="A60" s="526" t="s">
        <v>373</v>
      </c>
      <c r="B60" s="527"/>
      <c r="C60" s="521"/>
      <c r="D60" s="528"/>
      <c r="E60" s="531"/>
      <c r="F60" s="531"/>
      <c r="G60" s="531"/>
      <c r="H60" s="531"/>
      <c r="I60" s="531"/>
      <c r="J60" s="523">
        <f>'[6]TRATOR ROÇAGEM'!D84*G45</f>
        <v>0</v>
      </c>
    </row>
    <row r="61" spans="1:10" hidden="1" x14ac:dyDescent="0.2">
      <c r="A61" s="526" t="s">
        <v>374</v>
      </c>
      <c r="B61" s="527"/>
      <c r="C61" s="521"/>
      <c r="D61" s="528"/>
      <c r="E61" s="531"/>
      <c r="F61" s="531"/>
      <c r="G61" s="531"/>
      <c r="H61" s="531"/>
      <c r="I61" s="531"/>
      <c r="J61" s="523">
        <f>'[6]TRATOR ROÇAGEM'!D85*G45</f>
        <v>0</v>
      </c>
    </row>
    <row r="62" spans="1:10" hidden="1" x14ac:dyDescent="0.2">
      <c r="A62" s="526" t="s">
        <v>375</v>
      </c>
      <c r="B62" s="527"/>
      <c r="C62" s="521"/>
      <c r="D62" s="528"/>
      <c r="E62" s="531"/>
      <c r="F62" s="531"/>
      <c r="G62" s="531"/>
      <c r="H62" s="531"/>
      <c r="I62" s="531"/>
      <c r="J62" s="523">
        <f>'[6]TRATOR ROÇAGEM'!D86*G45</f>
        <v>0</v>
      </c>
    </row>
    <row r="63" spans="1:10" hidden="1" x14ac:dyDescent="0.2">
      <c r="A63" s="7" t="s">
        <v>376</v>
      </c>
      <c r="B63" s="459"/>
      <c r="C63" s="521"/>
      <c r="D63" s="529"/>
      <c r="E63" s="531"/>
      <c r="F63" s="531"/>
      <c r="G63" s="531"/>
      <c r="H63" s="531"/>
      <c r="I63" s="531"/>
      <c r="J63" s="523">
        <v>0</v>
      </c>
    </row>
    <row r="64" spans="1:10" hidden="1" x14ac:dyDescent="0.2">
      <c r="A64" s="7" t="s">
        <v>377</v>
      </c>
      <c r="B64" s="459"/>
      <c r="C64" s="521"/>
      <c r="D64" s="529"/>
      <c r="E64" s="531"/>
      <c r="F64" s="531"/>
      <c r="G64" s="531"/>
      <c r="H64" s="531"/>
      <c r="I64" s="531"/>
      <c r="J64" s="523">
        <v>0</v>
      </c>
    </row>
    <row r="65" spans="1:10" hidden="1" x14ac:dyDescent="0.2">
      <c r="A65" s="7"/>
      <c r="B65" s="522"/>
      <c r="C65" s="459"/>
      <c r="D65" s="459"/>
      <c r="E65" s="459"/>
      <c r="F65" s="459"/>
      <c r="G65" s="459"/>
      <c r="H65" s="459"/>
      <c r="I65" s="459"/>
      <c r="J65" s="459"/>
    </row>
    <row r="66" spans="1:10" hidden="1" x14ac:dyDescent="0.2">
      <c r="A66" s="7" t="s">
        <v>378</v>
      </c>
      <c r="B66" s="522"/>
      <c r="C66" s="459"/>
      <c r="D66" s="459"/>
      <c r="E66" s="459"/>
      <c r="F66" s="459"/>
      <c r="G66" s="459"/>
      <c r="H66" s="459"/>
      <c r="I66" s="459"/>
      <c r="J66" s="459">
        <f>SUM(J59:J64)</f>
        <v>0</v>
      </c>
    </row>
    <row r="67" spans="1:10" ht="15" x14ac:dyDescent="0.25">
      <c r="A67" s="678" t="s">
        <v>417</v>
      </c>
      <c r="B67" s="678"/>
      <c r="C67" s="678"/>
      <c r="D67" s="678"/>
      <c r="E67" s="678"/>
      <c r="F67" s="678"/>
      <c r="G67" s="678"/>
      <c r="H67" s="678"/>
      <c r="I67" s="678"/>
      <c r="J67" s="525">
        <f>J55+J66</f>
        <v>7459.2</v>
      </c>
    </row>
    <row r="68" spans="1:10" x14ac:dyDescent="0.2">
      <c r="A68" s="677"/>
      <c r="B68" s="677"/>
      <c r="C68" s="677"/>
      <c r="D68" s="677"/>
      <c r="E68" s="677"/>
      <c r="F68" s="677"/>
      <c r="G68" s="677"/>
      <c r="H68" s="677"/>
      <c r="I68" s="677"/>
      <c r="J68" s="677"/>
    </row>
    <row r="69" spans="1:10" ht="15" hidden="1" x14ac:dyDescent="0.25">
      <c r="A69" s="691" t="s">
        <v>379</v>
      </c>
      <c r="B69" s="691"/>
      <c r="C69" s="691"/>
      <c r="D69" s="691"/>
      <c r="E69" s="691"/>
      <c r="F69" s="691"/>
      <c r="G69" s="691"/>
      <c r="H69" s="691"/>
      <c r="I69" s="691"/>
      <c r="J69" s="532">
        <f>J41+J67</f>
        <v>54115.577111466664</v>
      </c>
    </row>
    <row r="70" spans="1:10" hidden="1" x14ac:dyDescent="0.2">
      <c r="A70" s="7" t="s">
        <v>380</v>
      </c>
      <c r="B70" s="7"/>
      <c r="C70" s="7"/>
      <c r="D70" s="7"/>
      <c r="E70" s="7"/>
      <c r="F70" s="7"/>
      <c r="G70" s="7"/>
      <c r="H70" s="7"/>
      <c r="I70" s="7"/>
      <c r="J70" s="7"/>
    </row>
    <row r="71" spans="1:10" ht="25.5" hidden="1" x14ac:dyDescent="0.2">
      <c r="A71" s="674" t="s">
        <v>322</v>
      </c>
      <c r="B71" s="685"/>
      <c r="C71" s="686"/>
      <c r="D71" s="686"/>
      <c r="E71" s="686"/>
      <c r="F71" s="686"/>
      <c r="G71" s="686"/>
      <c r="H71" s="686"/>
      <c r="I71" s="687"/>
      <c r="J71" s="521" t="s">
        <v>329</v>
      </c>
    </row>
    <row r="72" spans="1:10" hidden="1" x14ac:dyDescent="0.2">
      <c r="A72" s="674"/>
      <c r="B72" s="688"/>
      <c r="C72" s="689"/>
      <c r="D72" s="689"/>
      <c r="E72" s="689"/>
      <c r="F72" s="689"/>
      <c r="G72" s="689"/>
      <c r="H72" s="689"/>
      <c r="I72" s="690"/>
      <c r="J72" s="7"/>
    </row>
    <row r="73" spans="1:10" hidden="1" x14ac:dyDescent="0.2">
      <c r="A73" s="526" t="s">
        <v>381</v>
      </c>
      <c r="B73" s="527"/>
      <c r="C73" s="521"/>
      <c r="D73" s="528"/>
      <c r="E73" s="692" t="s">
        <v>382</v>
      </c>
      <c r="F73" s="693"/>
      <c r="G73" s="693"/>
      <c r="H73" s="693"/>
      <c r="I73" s="694"/>
      <c r="J73" s="523">
        <v>0</v>
      </c>
    </row>
    <row r="74" spans="1:10" hidden="1" x14ac:dyDescent="0.2">
      <c r="A74" s="526" t="s">
        <v>383</v>
      </c>
      <c r="B74" s="527"/>
      <c r="C74" s="521"/>
      <c r="D74" s="528"/>
      <c r="E74" s="695"/>
      <c r="F74" s="696"/>
      <c r="G74" s="696"/>
      <c r="H74" s="696"/>
      <c r="I74" s="697"/>
      <c r="J74" s="523">
        <v>0</v>
      </c>
    </row>
    <row r="75" spans="1:10" hidden="1" x14ac:dyDescent="0.2">
      <c r="A75" s="526" t="s">
        <v>384</v>
      </c>
      <c r="B75" s="527"/>
      <c r="C75" s="521"/>
      <c r="D75" s="528"/>
      <c r="E75" s="695"/>
      <c r="F75" s="696"/>
      <c r="G75" s="696"/>
      <c r="H75" s="696"/>
      <c r="I75" s="697"/>
      <c r="J75" s="523">
        <f>B75*E75</f>
        <v>0</v>
      </c>
    </row>
    <row r="76" spans="1:10" hidden="1" x14ac:dyDescent="0.2">
      <c r="A76" s="526" t="s">
        <v>385</v>
      </c>
      <c r="B76" s="527"/>
      <c r="C76" s="521"/>
      <c r="D76" s="528"/>
      <c r="E76" s="695"/>
      <c r="F76" s="696"/>
      <c r="G76" s="696"/>
      <c r="H76" s="696"/>
      <c r="I76" s="697"/>
      <c r="J76" s="523">
        <f>B76*E76</f>
        <v>0</v>
      </c>
    </row>
    <row r="77" spans="1:10" hidden="1" x14ac:dyDescent="0.2">
      <c r="A77" s="7"/>
      <c r="B77" s="522"/>
      <c r="C77" s="459"/>
      <c r="D77" s="459"/>
      <c r="E77" s="459"/>
      <c r="F77" s="459"/>
      <c r="G77" s="459"/>
      <c r="H77" s="459"/>
      <c r="I77" s="459"/>
      <c r="J77" s="459"/>
    </row>
    <row r="78" spans="1:10" hidden="1" x14ac:dyDescent="0.2">
      <c r="A78" s="7" t="s">
        <v>386</v>
      </c>
      <c r="B78" s="522"/>
      <c r="C78" s="459"/>
      <c r="D78" s="459"/>
      <c r="E78" s="459"/>
      <c r="F78" s="459"/>
      <c r="G78" s="459"/>
      <c r="H78" s="459"/>
      <c r="I78" s="459"/>
      <c r="J78" s="459">
        <f>SUM(J73:J76)</f>
        <v>0</v>
      </c>
    </row>
    <row r="79" spans="1:10" hidden="1" x14ac:dyDescent="0.2">
      <c r="A79" s="677"/>
      <c r="B79" s="677"/>
      <c r="C79" s="677"/>
      <c r="D79" s="677"/>
      <c r="E79" s="677"/>
      <c r="F79" s="677"/>
      <c r="G79" s="677"/>
      <c r="H79" s="677"/>
      <c r="I79" s="677"/>
      <c r="J79" s="677"/>
    </row>
    <row r="80" spans="1:10" ht="15" hidden="1" x14ac:dyDescent="0.25">
      <c r="A80" s="691" t="s">
        <v>387</v>
      </c>
      <c r="B80" s="691"/>
      <c r="C80" s="691"/>
      <c r="D80" s="691"/>
      <c r="E80" s="691"/>
      <c r="F80" s="691"/>
      <c r="G80" s="691"/>
      <c r="H80" s="691"/>
      <c r="I80" s="691"/>
      <c r="J80" s="532">
        <f>J78</f>
        <v>0</v>
      </c>
    </row>
    <row r="81" spans="1:12" hidden="1" x14ac:dyDescent="0.2">
      <c r="A81" s="7" t="s">
        <v>388</v>
      </c>
      <c r="B81" s="7"/>
      <c r="C81" s="7"/>
      <c r="D81" s="7"/>
      <c r="E81" s="7"/>
      <c r="F81" s="7"/>
      <c r="G81" s="7"/>
      <c r="H81" s="7"/>
      <c r="I81" s="7"/>
      <c r="J81" s="7"/>
    </row>
    <row r="82" spans="1:12" ht="25.5" hidden="1" x14ac:dyDescent="0.2">
      <c r="A82" s="674" t="s">
        <v>322</v>
      </c>
      <c r="B82" s="685"/>
      <c r="C82" s="686"/>
      <c r="D82" s="686"/>
      <c r="E82" s="686"/>
      <c r="F82" s="686"/>
      <c r="G82" s="686"/>
      <c r="H82" s="686"/>
      <c r="I82" s="687"/>
      <c r="J82" s="521" t="s">
        <v>329</v>
      </c>
    </row>
    <row r="83" spans="1:12" hidden="1" x14ac:dyDescent="0.2">
      <c r="A83" s="674"/>
      <c r="B83" s="688"/>
      <c r="C83" s="689"/>
      <c r="D83" s="689"/>
      <c r="E83" s="689"/>
      <c r="F83" s="689"/>
      <c r="G83" s="689"/>
      <c r="H83" s="689"/>
      <c r="I83" s="690"/>
      <c r="J83" s="7"/>
    </row>
    <row r="84" spans="1:12" hidden="1" x14ac:dyDescent="0.2">
      <c r="A84" s="526" t="s">
        <v>389</v>
      </c>
      <c r="B84" s="527"/>
      <c r="C84" s="521"/>
      <c r="D84" s="528"/>
      <c r="E84" s="531"/>
      <c r="F84" s="531"/>
      <c r="G84" s="531"/>
      <c r="H84" s="531"/>
      <c r="I84" s="531"/>
      <c r="J84" s="523"/>
    </row>
    <row r="85" spans="1:12" hidden="1" x14ac:dyDescent="0.2">
      <c r="A85" s="526" t="s">
        <v>390</v>
      </c>
      <c r="B85" s="527"/>
      <c r="C85" s="521"/>
      <c r="D85" s="528"/>
      <c r="E85" s="531"/>
      <c r="F85" s="531"/>
      <c r="G85" s="531"/>
      <c r="H85" s="531"/>
      <c r="I85" s="531"/>
      <c r="J85" s="523"/>
    </row>
    <row r="86" spans="1:12" hidden="1" x14ac:dyDescent="0.2">
      <c r="A86" s="526" t="s">
        <v>391</v>
      </c>
      <c r="B86" s="527"/>
      <c r="C86" s="521"/>
      <c r="D86" s="528"/>
      <c r="E86" s="531"/>
      <c r="F86" s="531"/>
      <c r="G86" s="531"/>
      <c r="H86" s="531"/>
      <c r="I86" s="531"/>
      <c r="J86" s="523"/>
    </row>
    <row r="87" spans="1:12" hidden="1" x14ac:dyDescent="0.2">
      <c r="A87" s="526" t="s">
        <v>392</v>
      </c>
      <c r="B87" s="527"/>
      <c r="C87" s="521"/>
      <c r="D87" s="528"/>
      <c r="E87" s="531"/>
      <c r="F87" s="531"/>
      <c r="G87" s="531"/>
      <c r="H87" s="531"/>
      <c r="I87" s="531"/>
      <c r="J87" s="523"/>
    </row>
    <row r="88" spans="1:12" hidden="1" x14ac:dyDescent="0.2">
      <c r="A88" s="7" t="s">
        <v>393</v>
      </c>
      <c r="B88" s="522"/>
      <c r="C88" s="459"/>
      <c r="D88" s="459"/>
      <c r="E88" s="459"/>
      <c r="F88" s="459"/>
      <c r="G88" s="459"/>
      <c r="H88" s="459"/>
      <c r="I88" s="459"/>
      <c r="J88" s="459"/>
    </row>
    <row r="89" spans="1:12" hidden="1" x14ac:dyDescent="0.2">
      <c r="A89" s="7"/>
      <c r="B89" s="522"/>
      <c r="C89" s="459"/>
      <c r="D89" s="459"/>
      <c r="E89" s="459"/>
      <c r="F89" s="459"/>
      <c r="G89" s="459"/>
      <c r="H89" s="459"/>
      <c r="I89" s="459"/>
      <c r="J89" s="459"/>
    </row>
    <row r="90" spans="1:12" hidden="1" x14ac:dyDescent="0.2">
      <c r="A90" s="7" t="s">
        <v>394</v>
      </c>
      <c r="B90" s="522"/>
      <c r="C90" s="459"/>
      <c r="D90" s="459"/>
      <c r="E90" s="459"/>
      <c r="F90" s="459"/>
      <c r="G90" s="459"/>
      <c r="H90" s="459"/>
      <c r="I90" s="459"/>
      <c r="J90" s="459">
        <f>SUM(J84:J88)</f>
        <v>0</v>
      </c>
    </row>
    <row r="91" spans="1:12" hidden="1" x14ac:dyDescent="0.2">
      <c r="A91" s="683" t="s">
        <v>395</v>
      </c>
      <c r="B91" s="683"/>
      <c r="C91" s="683"/>
      <c r="D91" s="683"/>
      <c r="E91" s="683"/>
      <c r="F91" s="683"/>
      <c r="G91" s="683"/>
      <c r="H91" s="683"/>
      <c r="I91" s="683"/>
      <c r="J91" s="683"/>
    </row>
    <row r="92" spans="1:12" hidden="1" x14ac:dyDescent="0.2">
      <c r="A92" s="683" t="s">
        <v>396</v>
      </c>
      <c r="B92" s="683"/>
      <c r="C92" s="683"/>
      <c r="D92" s="683"/>
      <c r="E92" s="683"/>
      <c r="F92" s="683"/>
      <c r="G92" s="683"/>
      <c r="H92" s="683"/>
      <c r="I92" s="683"/>
      <c r="J92" s="683"/>
    </row>
    <row r="93" spans="1:12" ht="15" hidden="1" x14ac:dyDescent="0.25">
      <c r="A93" s="691" t="s">
        <v>397</v>
      </c>
      <c r="B93" s="691"/>
      <c r="C93" s="691"/>
      <c r="D93" s="691"/>
      <c r="E93" s="691"/>
      <c r="F93" s="691"/>
      <c r="G93" s="691"/>
      <c r="H93" s="691"/>
      <c r="I93" s="691"/>
      <c r="J93" s="532">
        <f>J90</f>
        <v>0</v>
      </c>
    </row>
    <row r="94" spans="1:12" hidden="1" x14ac:dyDescent="0.2">
      <c r="A94" s="677"/>
      <c r="B94" s="677"/>
      <c r="C94" s="677"/>
      <c r="D94" s="677"/>
      <c r="E94" s="677"/>
      <c r="F94" s="677"/>
      <c r="G94" s="677"/>
      <c r="H94" s="677"/>
      <c r="I94" s="677"/>
      <c r="J94" s="677"/>
    </row>
    <row r="95" spans="1:12" x14ac:dyDescent="0.2">
      <c r="A95" s="7" t="s">
        <v>398</v>
      </c>
      <c r="B95" s="7"/>
      <c r="C95" s="7"/>
      <c r="D95" s="7"/>
      <c r="E95" s="7"/>
      <c r="F95" s="7"/>
      <c r="G95" s="7"/>
      <c r="H95" s="7"/>
      <c r="I95" s="7"/>
      <c r="J95" s="7"/>
    </row>
    <row r="96" spans="1:12" ht="15" x14ac:dyDescent="0.25">
      <c r="A96" s="691" t="s">
        <v>399</v>
      </c>
      <c r="B96" s="691"/>
      <c r="C96" s="691"/>
      <c r="D96" s="691"/>
      <c r="E96" s="691"/>
      <c r="F96" s="691"/>
      <c r="G96" s="691"/>
      <c r="H96" s="691"/>
      <c r="I96" s="691"/>
      <c r="J96" s="532">
        <f>J19+J41+J67+J80+J93</f>
        <v>54782.243778133328</v>
      </c>
      <c r="K96" s="535"/>
      <c r="L96" s="535"/>
    </row>
    <row r="97" spans="1:10" s="1" customFormat="1" x14ac:dyDescent="0.2">
      <c r="A97" s="538" t="s">
        <v>406</v>
      </c>
      <c r="B97" s="538"/>
      <c r="C97" s="538"/>
      <c r="D97" s="538"/>
      <c r="E97" s="538"/>
      <c r="F97" s="538"/>
      <c r="G97" s="538"/>
      <c r="H97" s="538"/>
      <c r="I97" s="536">
        <f>'BDI Agetop'!R36</f>
        <v>0.21990000000000001</v>
      </c>
      <c r="J97" s="537">
        <f>J96*I97</f>
        <v>12046.615406811519</v>
      </c>
    </row>
    <row r="98" spans="1:10" hidden="1" x14ac:dyDescent="0.2">
      <c r="A98" s="7" t="s">
        <v>400</v>
      </c>
      <c r="B98" s="7"/>
      <c r="C98" s="7"/>
      <c r="D98" s="7"/>
      <c r="E98" s="7"/>
      <c r="F98" s="7"/>
      <c r="G98" s="7"/>
      <c r="H98" s="7"/>
      <c r="I98" s="7"/>
      <c r="J98" s="7">
        <v>8</v>
      </c>
    </row>
    <row r="99" spans="1:10" hidden="1" x14ac:dyDescent="0.2">
      <c r="A99" s="7" t="s">
        <v>401</v>
      </c>
      <c r="B99" s="7"/>
      <c r="C99" s="7"/>
      <c r="D99" s="7"/>
      <c r="E99" s="7"/>
      <c r="F99" s="7"/>
      <c r="G99" s="7"/>
      <c r="H99" s="7"/>
      <c r="I99" s="7"/>
      <c r="J99" s="523"/>
    </row>
    <row r="100" spans="1:10" ht="15" x14ac:dyDescent="0.25">
      <c r="A100" s="691" t="s">
        <v>402</v>
      </c>
      <c r="B100" s="691"/>
      <c r="C100" s="691"/>
      <c r="D100" s="691"/>
      <c r="E100" s="691"/>
      <c r="F100" s="691"/>
      <c r="G100" s="691"/>
      <c r="H100" s="691"/>
      <c r="I100" s="691"/>
      <c r="J100" s="532">
        <f>J96+J97</f>
        <v>66828.859184944842</v>
      </c>
    </row>
  </sheetData>
  <mergeCells count="72">
    <mergeCell ref="A92:J92"/>
    <mergeCell ref="A93:I93"/>
    <mergeCell ref="A94:J94"/>
    <mergeCell ref="A96:I96"/>
    <mergeCell ref="A100:I100"/>
    <mergeCell ref="A91:J91"/>
    <mergeCell ref="A57:A58"/>
    <mergeCell ref="B57:I58"/>
    <mergeCell ref="A67:I67"/>
    <mergeCell ref="A68:J68"/>
    <mergeCell ref="A69:I69"/>
    <mergeCell ref="A71:A72"/>
    <mergeCell ref="B71:I72"/>
    <mergeCell ref="E73:I76"/>
    <mergeCell ref="A79:J79"/>
    <mergeCell ref="A80:I80"/>
    <mergeCell ref="A82:A83"/>
    <mergeCell ref="B82:I83"/>
    <mergeCell ref="G43:I43"/>
    <mergeCell ref="A51:A52"/>
    <mergeCell ref="B51:B52"/>
    <mergeCell ref="C51:C52"/>
    <mergeCell ref="D51:D52"/>
    <mergeCell ref="E51:F51"/>
    <mergeCell ref="G51:I51"/>
    <mergeCell ref="A43:A44"/>
    <mergeCell ref="B43:B44"/>
    <mergeCell ref="C43:C44"/>
    <mergeCell ref="D43:D44"/>
    <mergeCell ref="E43:F43"/>
    <mergeCell ref="L32:P37"/>
    <mergeCell ref="A37:J37"/>
    <mergeCell ref="A38:J38"/>
    <mergeCell ref="A39:J39"/>
    <mergeCell ref="A41:I41"/>
    <mergeCell ref="A30:J30"/>
    <mergeCell ref="A32:A33"/>
    <mergeCell ref="B32:B33"/>
    <mergeCell ref="C32:C33"/>
    <mergeCell ref="D32:D33"/>
    <mergeCell ref="E32:E33"/>
    <mergeCell ref="F32:F33"/>
    <mergeCell ref="G32:G33"/>
    <mergeCell ref="H32:I32"/>
    <mergeCell ref="A19:I19"/>
    <mergeCell ref="A20:J20"/>
    <mergeCell ref="A23:A24"/>
    <mergeCell ref="B23:B24"/>
    <mergeCell ref="C23:C24"/>
    <mergeCell ref="D23:D24"/>
    <mergeCell ref="E23:E24"/>
    <mergeCell ref="F23:F24"/>
    <mergeCell ref="G23:G24"/>
    <mergeCell ref="H23:I23"/>
    <mergeCell ref="A10:J10"/>
    <mergeCell ref="A12:A13"/>
    <mergeCell ref="B12:B13"/>
    <mergeCell ref="C12:C13"/>
    <mergeCell ref="D12:D13"/>
    <mergeCell ref="E12:E13"/>
    <mergeCell ref="F12:F13"/>
    <mergeCell ref="G12:G13"/>
    <mergeCell ref="I13:J13"/>
    <mergeCell ref="A2:J2"/>
    <mergeCell ref="A5:A6"/>
    <mergeCell ref="B5:B6"/>
    <mergeCell ref="C5:C6"/>
    <mergeCell ref="D5:D6"/>
    <mergeCell ref="E5:E6"/>
    <mergeCell ref="F5:F6"/>
    <mergeCell ref="G5:G6"/>
    <mergeCell ref="I6:J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R94"/>
  <sheetViews>
    <sheetView topLeftCell="A19" workbookViewId="0">
      <selection activeCell="G1" sqref="G1"/>
    </sheetView>
  </sheetViews>
  <sheetFormatPr defaultRowHeight="15" x14ac:dyDescent="0.25"/>
  <cols>
    <col min="1" max="15" width="8.85546875" style="8"/>
    <col min="16" max="16" width="16.28515625" style="8" customWidth="1"/>
    <col min="17" max="17" width="12.5703125" style="8" customWidth="1"/>
    <col min="18" max="18" width="8.85546875" style="353" customWidth="1"/>
    <col min="19" max="271" width="8.85546875" style="8"/>
    <col min="272" max="272" width="16.28515625" style="8" customWidth="1"/>
    <col min="273" max="273" width="12.5703125" style="8" customWidth="1"/>
    <col min="274" max="274" width="8.85546875" style="8" customWidth="1"/>
    <col min="275" max="527" width="8.85546875" style="8"/>
    <col min="528" max="528" width="16.28515625" style="8" customWidth="1"/>
    <col min="529" max="529" width="12.5703125" style="8" customWidth="1"/>
    <col min="530" max="530" width="8.85546875" style="8" customWidth="1"/>
    <col min="531" max="783" width="8.85546875" style="8"/>
    <col min="784" max="784" width="16.28515625" style="8" customWidth="1"/>
    <col min="785" max="785" width="12.5703125" style="8" customWidth="1"/>
    <col min="786" max="786" width="8.85546875" style="8" customWidth="1"/>
    <col min="787" max="1039" width="8.85546875" style="8"/>
    <col min="1040" max="1040" width="16.28515625" style="8" customWidth="1"/>
    <col min="1041" max="1041" width="12.5703125" style="8" customWidth="1"/>
    <col min="1042" max="1042" width="8.85546875" style="8" customWidth="1"/>
    <col min="1043" max="1295" width="8.85546875" style="8"/>
    <col min="1296" max="1296" width="16.28515625" style="8" customWidth="1"/>
    <col min="1297" max="1297" width="12.5703125" style="8" customWidth="1"/>
    <col min="1298" max="1298" width="8.85546875" style="8" customWidth="1"/>
    <col min="1299" max="1551" width="8.85546875" style="8"/>
    <col min="1552" max="1552" width="16.28515625" style="8" customWidth="1"/>
    <col min="1553" max="1553" width="12.5703125" style="8" customWidth="1"/>
    <col min="1554" max="1554" width="8.85546875" style="8" customWidth="1"/>
    <col min="1555" max="1807" width="8.85546875" style="8"/>
    <col min="1808" max="1808" width="16.28515625" style="8" customWidth="1"/>
    <col min="1809" max="1809" width="12.5703125" style="8" customWidth="1"/>
    <col min="1810" max="1810" width="8.85546875" style="8" customWidth="1"/>
    <col min="1811" max="2063" width="8.85546875" style="8"/>
    <col min="2064" max="2064" width="16.28515625" style="8" customWidth="1"/>
    <col min="2065" max="2065" width="12.5703125" style="8" customWidth="1"/>
    <col min="2066" max="2066" width="8.85546875" style="8" customWidth="1"/>
    <col min="2067" max="2319" width="8.85546875" style="8"/>
    <col min="2320" max="2320" width="16.28515625" style="8" customWidth="1"/>
    <col min="2321" max="2321" width="12.5703125" style="8" customWidth="1"/>
    <col min="2322" max="2322" width="8.85546875" style="8" customWidth="1"/>
    <col min="2323" max="2575" width="8.85546875" style="8"/>
    <col min="2576" max="2576" width="16.28515625" style="8" customWidth="1"/>
    <col min="2577" max="2577" width="12.5703125" style="8" customWidth="1"/>
    <col min="2578" max="2578" width="8.85546875" style="8" customWidth="1"/>
    <col min="2579" max="2831" width="8.85546875" style="8"/>
    <col min="2832" max="2832" width="16.28515625" style="8" customWidth="1"/>
    <col min="2833" max="2833" width="12.5703125" style="8" customWidth="1"/>
    <col min="2834" max="2834" width="8.85546875" style="8" customWidth="1"/>
    <col min="2835" max="3087" width="8.85546875" style="8"/>
    <col min="3088" max="3088" width="16.28515625" style="8" customWidth="1"/>
    <col min="3089" max="3089" width="12.5703125" style="8" customWidth="1"/>
    <col min="3090" max="3090" width="8.85546875" style="8" customWidth="1"/>
    <col min="3091" max="3343" width="8.85546875" style="8"/>
    <col min="3344" max="3344" width="16.28515625" style="8" customWidth="1"/>
    <col min="3345" max="3345" width="12.5703125" style="8" customWidth="1"/>
    <col min="3346" max="3346" width="8.85546875" style="8" customWidth="1"/>
    <col min="3347" max="3599" width="8.85546875" style="8"/>
    <col min="3600" max="3600" width="16.28515625" style="8" customWidth="1"/>
    <col min="3601" max="3601" width="12.5703125" style="8" customWidth="1"/>
    <col min="3602" max="3602" width="8.85546875" style="8" customWidth="1"/>
    <col min="3603" max="3855" width="8.85546875" style="8"/>
    <col min="3856" max="3856" width="16.28515625" style="8" customWidth="1"/>
    <col min="3857" max="3857" width="12.5703125" style="8" customWidth="1"/>
    <col min="3858" max="3858" width="8.85546875" style="8" customWidth="1"/>
    <col min="3859" max="4111" width="8.85546875" style="8"/>
    <col min="4112" max="4112" width="16.28515625" style="8" customWidth="1"/>
    <col min="4113" max="4113" width="12.5703125" style="8" customWidth="1"/>
    <col min="4114" max="4114" width="8.85546875" style="8" customWidth="1"/>
    <col min="4115" max="4367" width="8.85546875" style="8"/>
    <col min="4368" max="4368" width="16.28515625" style="8" customWidth="1"/>
    <col min="4369" max="4369" width="12.5703125" style="8" customWidth="1"/>
    <col min="4370" max="4370" width="8.85546875" style="8" customWidth="1"/>
    <col min="4371" max="4623" width="8.85546875" style="8"/>
    <col min="4624" max="4624" width="16.28515625" style="8" customWidth="1"/>
    <col min="4625" max="4625" width="12.5703125" style="8" customWidth="1"/>
    <col min="4626" max="4626" width="8.85546875" style="8" customWidth="1"/>
    <col min="4627" max="4879" width="8.85546875" style="8"/>
    <col min="4880" max="4880" width="16.28515625" style="8" customWidth="1"/>
    <col min="4881" max="4881" width="12.5703125" style="8" customWidth="1"/>
    <col min="4882" max="4882" width="8.85546875" style="8" customWidth="1"/>
    <col min="4883" max="5135" width="8.85546875" style="8"/>
    <col min="5136" max="5136" width="16.28515625" style="8" customWidth="1"/>
    <col min="5137" max="5137" width="12.5703125" style="8" customWidth="1"/>
    <col min="5138" max="5138" width="8.85546875" style="8" customWidth="1"/>
    <col min="5139" max="5391" width="8.85546875" style="8"/>
    <col min="5392" max="5392" width="16.28515625" style="8" customWidth="1"/>
    <col min="5393" max="5393" width="12.5703125" style="8" customWidth="1"/>
    <col min="5394" max="5394" width="8.85546875" style="8" customWidth="1"/>
    <col min="5395" max="5647" width="8.85546875" style="8"/>
    <col min="5648" max="5648" width="16.28515625" style="8" customWidth="1"/>
    <col min="5649" max="5649" width="12.5703125" style="8" customWidth="1"/>
    <col min="5650" max="5650" width="8.85546875" style="8" customWidth="1"/>
    <col min="5651" max="5903" width="8.85546875" style="8"/>
    <col min="5904" max="5904" width="16.28515625" style="8" customWidth="1"/>
    <col min="5905" max="5905" width="12.5703125" style="8" customWidth="1"/>
    <col min="5906" max="5906" width="8.85546875" style="8" customWidth="1"/>
    <col min="5907" max="6159" width="8.85546875" style="8"/>
    <col min="6160" max="6160" width="16.28515625" style="8" customWidth="1"/>
    <col min="6161" max="6161" width="12.5703125" style="8" customWidth="1"/>
    <col min="6162" max="6162" width="8.85546875" style="8" customWidth="1"/>
    <col min="6163" max="6415" width="8.85546875" style="8"/>
    <col min="6416" max="6416" width="16.28515625" style="8" customWidth="1"/>
    <col min="6417" max="6417" width="12.5703125" style="8" customWidth="1"/>
    <col min="6418" max="6418" width="8.85546875" style="8" customWidth="1"/>
    <col min="6419" max="6671" width="8.85546875" style="8"/>
    <col min="6672" max="6672" width="16.28515625" style="8" customWidth="1"/>
    <col min="6673" max="6673" width="12.5703125" style="8" customWidth="1"/>
    <col min="6674" max="6674" width="8.85546875" style="8" customWidth="1"/>
    <col min="6675" max="6927" width="8.85546875" style="8"/>
    <col min="6928" max="6928" width="16.28515625" style="8" customWidth="1"/>
    <col min="6929" max="6929" width="12.5703125" style="8" customWidth="1"/>
    <col min="6930" max="6930" width="8.85546875" style="8" customWidth="1"/>
    <col min="6931" max="7183" width="8.85546875" style="8"/>
    <col min="7184" max="7184" width="16.28515625" style="8" customWidth="1"/>
    <col min="7185" max="7185" width="12.5703125" style="8" customWidth="1"/>
    <col min="7186" max="7186" width="8.85546875" style="8" customWidth="1"/>
    <col min="7187" max="7439" width="8.85546875" style="8"/>
    <col min="7440" max="7440" width="16.28515625" style="8" customWidth="1"/>
    <col min="7441" max="7441" width="12.5703125" style="8" customWidth="1"/>
    <col min="7442" max="7442" width="8.85546875" style="8" customWidth="1"/>
    <col min="7443" max="7695" width="8.85546875" style="8"/>
    <col min="7696" max="7696" width="16.28515625" style="8" customWidth="1"/>
    <col min="7697" max="7697" width="12.5703125" style="8" customWidth="1"/>
    <col min="7698" max="7698" width="8.85546875" style="8" customWidth="1"/>
    <col min="7699" max="7951" width="8.85546875" style="8"/>
    <col min="7952" max="7952" width="16.28515625" style="8" customWidth="1"/>
    <col min="7953" max="7953" width="12.5703125" style="8" customWidth="1"/>
    <col min="7954" max="7954" width="8.85546875" style="8" customWidth="1"/>
    <col min="7955" max="8207" width="8.85546875" style="8"/>
    <col min="8208" max="8208" width="16.28515625" style="8" customWidth="1"/>
    <col min="8209" max="8209" width="12.5703125" style="8" customWidth="1"/>
    <col min="8210" max="8210" width="8.85546875" style="8" customWidth="1"/>
    <col min="8211" max="8463" width="8.85546875" style="8"/>
    <col min="8464" max="8464" width="16.28515625" style="8" customWidth="1"/>
    <col min="8465" max="8465" width="12.5703125" style="8" customWidth="1"/>
    <col min="8466" max="8466" width="8.85546875" style="8" customWidth="1"/>
    <col min="8467" max="8719" width="8.85546875" style="8"/>
    <col min="8720" max="8720" width="16.28515625" style="8" customWidth="1"/>
    <col min="8721" max="8721" width="12.5703125" style="8" customWidth="1"/>
    <col min="8722" max="8722" width="8.85546875" style="8" customWidth="1"/>
    <col min="8723" max="8975" width="8.85546875" style="8"/>
    <col min="8976" max="8976" width="16.28515625" style="8" customWidth="1"/>
    <col min="8977" max="8977" width="12.5703125" style="8" customWidth="1"/>
    <col min="8978" max="8978" width="8.85546875" style="8" customWidth="1"/>
    <col min="8979" max="9231" width="8.85546875" style="8"/>
    <col min="9232" max="9232" width="16.28515625" style="8" customWidth="1"/>
    <col min="9233" max="9233" width="12.5703125" style="8" customWidth="1"/>
    <col min="9234" max="9234" width="8.85546875" style="8" customWidth="1"/>
    <col min="9235" max="9487" width="8.85546875" style="8"/>
    <col min="9488" max="9488" width="16.28515625" style="8" customWidth="1"/>
    <col min="9489" max="9489" width="12.5703125" style="8" customWidth="1"/>
    <col min="9490" max="9490" width="8.85546875" style="8" customWidth="1"/>
    <col min="9491" max="9743" width="8.85546875" style="8"/>
    <col min="9744" max="9744" width="16.28515625" style="8" customWidth="1"/>
    <col min="9745" max="9745" width="12.5703125" style="8" customWidth="1"/>
    <col min="9746" max="9746" width="8.85546875" style="8" customWidth="1"/>
    <col min="9747" max="9999" width="8.85546875" style="8"/>
    <col min="10000" max="10000" width="16.28515625" style="8" customWidth="1"/>
    <col min="10001" max="10001" width="12.5703125" style="8" customWidth="1"/>
    <col min="10002" max="10002" width="8.85546875" style="8" customWidth="1"/>
    <col min="10003" max="10255" width="8.85546875" style="8"/>
    <col min="10256" max="10256" width="16.28515625" style="8" customWidth="1"/>
    <col min="10257" max="10257" width="12.5703125" style="8" customWidth="1"/>
    <col min="10258" max="10258" width="8.85546875" style="8" customWidth="1"/>
    <col min="10259" max="10511" width="8.85546875" style="8"/>
    <col min="10512" max="10512" width="16.28515625" style="8" customWidth="1"/>
    <col min="10513" max="10513" width="12.5703125" style="8" customWidth="1"/>
    <col min="10514" max="10514" width="8.85546875" style="8" customWidth="1"/>
    <col min="10515" max="10767" width="8.85546875" style="8"/>
    <col min="10768" max="10768" width="16.28515625" style="8" customWidth="1"/>
    <col min="10769" max="10769" width="12.5703125" style="8" customWidth="1"/>
    <col min="10770" max="10770" width="8.85546875" style="8" customWidth="1"/>
    <col min="10771" max="11023" width="8.85546875" style="8"/>
    <col min="11024" max="11024" width="16.28515625" style="8" customWidth="1"/>
    <col min="11025" max="11025" width="12.5703125" style="8" customWidth="1"/>
    <col min="11026" max="11026" width="8.85546875" style="8" customWidth="1"/>
    <col min="11027" max="11279" width="8.85546875" style="8"/>
    <col min="11280" max="11280" width="16.28515625" style="8" customWidth="1"/>
    <col min="11281" max="11281" width="12.5703125" style="8" customWidth="1"/>
    <col min="11282" max="11282" width="8.85546875" style="8" customWidth="1"/>
    <col min="11283" max="11535" width="8.85546875" style="8"/>
    <col min="11536" max="11536" width="16.28515625" style="8" customWidth="1"/>
    <col min="11537" max="11537" width="12.5703125" style="8" customWidth="1"/>
    <col min="11538" max="11538" width="8.85546875" style="8" customWidth="1"/>
    <col min="11539" max="11791" width="8.85546875" style="8"/>
    <col min="11792" max="11792" width="16.28515625" style="8" customWidth="1"/>
    <col min="11793" max="11793" width="12.5703125" style="8" customWidth="1"/>
    <col min="11794" max="11794" width="8.85546875" style="8" customWidth="1"/>
    <col min="11795" max="12047" width="8.85546875" style="8"/>
    <col min="12048" max="12048" width="16.28515625" style="8" customWidth="1"/>
    <col min="12049" max="12049" width="12.5703125" style="8" customWidth="1"/>
    <col min="12050" max="12050" width="8.85546875" style="8" customWidth="1"/>
    <col min="12051" max="12303" width="8.85546875" style="8"/>
    <col min="12304" max="12304" width="16.28515625" style="8" customWidth="1"/>
    <col min="12305" max="12305" width="12.5703125" style="8" customWidth="1"/>
    <col min="12306" max="12306" width="8.85546875" style="8" customWidth="1"/>
    <col min="12307" max="12559" width="8.85546875" style="8"/>
    <col min="12560" max="12560" width="16.28515625" style="8" customWidth="1"/>
    <col min="12561" max="12561" width="12.5703125" style="8" customWidth="1"/>
    <col min="12562" max="12562" width="8.85546875" style="8" customWidth="1"/>
    <col min="12563" max="12815" width="8.85546875" style="8"/>
    <col min="12816" max="12816" width="16.28515625" style="8" customWidth="1"/>
    <col min="12817" max="12817" width="12.5703125" style="8" customWidth="1"/>
    <col min="12818" max="12818" width="8.85546875" style="8" customWidth="1"/>
    <col min="12819" max="13071" width="8.85546875" style="8"/>
    <col min="13072" max="13072" width="16.28515625" style="8" customWidth="1"/>
    <col min="13073" max="13073" width="12.5703125" style="8" customWidth="1"/>
    <col min="13074" max="13074" width="8.85546875" style="8" customWidth="1"/>
    <col min="13075" max="13327" width="8.85546875" style="8"/>
    <col min="13328" max="13328" width="16.28515625" style="8" customWidth="1"/>
    <col min="13329" max="13329" width="12.5703125" style="8" customWidth="1"/>
    <col min="13330" max="13330" width="8.85546875" style="8" customWidth="1"/>
    <col min="13331" max="13583" width="8.85546875" style="8"/>
    <col min="13584" max="13584" width="16.28515625" style="8" customWidth="1"/>
    <col min="13585" max="13585" width="12.5703125" style="8" customWidth="1"/>
    <col min="13586" max="13586" width="8.85546875" style="8" customWidth="1"/>
    <col min="13587" max="13839" width="8.85546875" style="8"/>
    <col min="13840" max="13840" width="16.28515625" style="8" customWidth="1"/>
    <col min="13841" max="13841" width="12.5703125" style="8" customWidth="1"/>
    <col min="13842" max="13842" width="8.85546875" style="8" customWidth="1"/>
    <col min="13843" max="14095" width="8.85546875" style="8"/>
    <col min="14096" max="14096" width="16.28515625" style="8" customWidth="1"/>
    <col min="14097" max="14097" width="12.5703125" style="8" customWidth="1"/>
    <col min="14098" max="14098" width="8.85546875" style="8" customWidth="1"/>
    <col min="14099" max="14351" width="8.85546875" style="8"/>
    <col min="14352" max="14352" width="16.28515625" style="8" customWidth="1"/>
    <col min="14353" max="14353" width="12.5703125" style="8" customWidth="1"/>
    <col min="14354" max="14354" width="8.85546875" style="8" customWidth="1"/>
    <col min="14355" max="14607" width="8.85546875" style="8"/>
    <col min="14608" max="14608" width="16.28515625" style="8" customWidth="1"/>
    <col min="14609" max="14609" width="12.5703125" style="8" customWidth="1"/>
    <col min="14610" max="14610" width="8.85546875" style="8" customWidth="1"/>
    <col min="14611" max="14863" width="8.85546875" style="8"/>
    <col min="14864" max="14864" width="16.28515625" style="8" customWidth="1"/>
    <col min="14865" max="14865" width="12.5703125" style="8" customWidth="1"/>
    <col min="14866" max="14866" width="8.85546875" style="8" customWidth="1"/>
    <col min="14867" max="15119" width="8.85546875" style="8"/>
    <col min="15120" max="15120" width="16.28515625" style="8" customWidth="1"/>
    <col min="15121" max="15121" width="12.5703125" style="8" customWidth="1"/>
    <col min="15122" max="15122" width="8.85546875" style="8" customWidth="1"/>
    <col min="15123" max="15375" width="8.85546875" style="8"/>
    <col min="15376" max="15376" width="16.28515625" style="8" customWidth="1"/>
    <col min="15377" max="15377" width="12.5703125" style="8" customWidth="1"/>
    <col min="15378" max="15378" width="8.85546875" style="8" customWidth="1"/>
    <col min="15379" max="15631" width="8.85546875" style="8"/>
    <col min="15632" max="15632" width="16.28515625" style="8" customWidth="1"/>
    <col min="15633" max="15633" width="12.5703125" style="8" customWidth="1"/>
    <col min="15634" max="15634" width="8.85546875" style="8" customWidth="1"/>
    <col min="15635" max="15887" width="8.85546875" style="8"/>
    <col min="15888" max="15888" width="16.28515625" style="8" customWidth="1"/>
    <col min="15889" max="15889" width="12.5703125" style="8" customWidth="1"/>
    <col min="15890" max="15890" width="8.85546875" style="8" customWidth="1"/>
    <col min="15891" max="16143" width="8.85546875" style="8"/>
    <col min="16144" max="16144" width="16.28515625" style="8" customWidth="1"/>
    <col min="16145" max="16145" width="12.5703125" style="8" customWidth="1"/>
    <col min="16146" max="16146" width="8.85546875" style="8" customWidth="1"/>
    <col min="16147" max="16384" width="8.85546875" style="8"/>
  </cols>
  <sheetData>
    <row r="6" ht="46.5" customHeight="1" x14ac:dyDescent="0.25"/>
    <row r="31" ht="11.45" customHeight="1" x14ac:dyDescent="0.25"/>
    <row r="35" spans="17:18" ht="4.1500000000000004" customHeight="1" x14ac:dyDescent="0.25"/>
    <row r="36" spans="17:18" ht="19.899999999999999" customHeight="1" x14ac:dyDescent="0.25">
      <c r="Q36" s="354" t="s">
        <v>261</v>
      </c>
      <c r="R36" s="355">
        <v>0.21990000000000001</v>
      </c>
    </row>
    <row r="86" spans="1:17" x14ac:dyDescent="0.25">
      <c r="A86" s="5" t="s">
        <v>262</v>
      </c>
      <c r="C86" s="23"/>
      <c r="D86" s="23"/>
    </row>
    <row r="87" spans="1:17" x14ac:dyDescent="0.25">
      <c r="C87" s="23"/>
      <c r="D87" s="23"/>
    </row>
    <row r="88" spans="1:17" x14ac:dyDescent="0.25">
      <c r="C88" s="23"/>
      <c r="D88" s="23"/>
    </row>
    <row r="89" spans="1:17" x14ac:dyDescent="0.25">
      <c r="A89" s="8" t="str">
        <f>'Orçamento Geral '!$A$22</f>
        <v>Heitorai, 05/2021</v>
      </c>
      <c r="C89" s="23"/>
      <c r="D89" s="23"/>
    </row>
    <row r="90" spans="1:17" x14ac:dyDescent="0.25">
      <c r="C90" s="23"/>
      <c r="D90" s="23"/>
    </row>
    <row r="91" spans="1:17" x14ac:dyDescent="0.25">
      <c r="C91" s="23"/>
      <c r="D91" s="23"/>
    </row>
    <row r="92" spans="1:17" x14ac:dyDescent="0.25">
      <c r="C92" s="23"/>
      <c r="D92" s="23"/>
    </row>
    <row r="93" spans="1:17" ht="15.75" x14ac:dyDescent="0.25">
      <c r="C93" s="23"/>
      <c r="D93" s="698"/>
      <c r="E93" s="698"/>
      <c r="F93" s="698"/>
      <c r="G93" s="698"/>
      <c r="H93" s="698"/>
      <c r="I93" s="698"/>
      <c r="J93" s="698"/>
      <c r="K93" s="698"/>
      <c r="L93" s="698"/>
      <c r="M93" s="698"/>
      <c r="N93" s="698"/>
      <c r="O93" s="698"/>
      <c r="P93" s="698"/>
      <c r="Q93" s="698"/>
    </row>
    <row r="94" spans="1:17" ht="15.75" x14ac:dyDescent="0.25">
      <c r="C94" s="23"/>
      <c r="D94" s="698"/>
      <c r="E94" s="698"/>
      <c r="F94" s="698"/>
      <c r="G94" s="698"/>
      <c r="H94" s="698"/>
      <c r="I94" s="698"/>
      <c r="J94" s="698"/>
      <c r="K94" s="698"/>
      <c r="L94" s="698"/>
      <c r="M94" s="698"/>
      <c r="N94" s="698"/>
      <c r="O94" s="698"/>
      <c r="P94" s="698"/>
      <c r="Q94" s="698"/>
    </row>
  </sheetData>
  <mergeCells count="2">
    <mergeCell ref="D93:Q93"/>
    <mergeCell ref="D94:Q94"/>
  </mergeCells>
  <pageMargins left="0.51181102362204722" right="0.51181102362204722" top="0.78740157480314965" bottom="0.78740157480314965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54"/>
  <sheetViews>
    <sheetView topLeftCell="A34" workbookViewId="0">
      <selection activeCell="C1" sqref="C1"/>
    </sheetView>
  </sheetViews>
  <sheetFormatPr defaultRowHeight="12.75" x14ac:dyDescent="0.2"/>
  <cols>
    <col min="1" max="2" width="9.140625" style="191"/>
    <col min="3" max="3" width="61.42578125" style="191" customWidth="1"/>
    <col min="4" max="4" width="12.5703125" style="191" customWidth="1"/>
    <col min="5" max="5" width="9.140625" style="191"/>
    <col min="6" max="6" width="0" style="191" hidden="1" customWidth="1"/>
    <col min="7" max="258" width="9.140625" style="191"/>
    <col min="259" max="259" width="56.85546875" style="191" customWidth="1"/>
    <col min="260" max="260" width="12.5703125" style="191" customWidth="1"/>
    <col min="261" max="514" width="9.140625" style="191"/>
    <col min="515" max="515" width="56.85546875" style="191" customWidth="1"/>
    <col min="516" max="516" width="12.5703125" style="191" customWidth="1"/>
    <col min="517" max="770" width="9.140625" style="191"/>
    <col min="771" max="771" width="56.85546875" style="191" customWidth="1"/>
    <col min="772" max="772" width="12.5703125" style="191" customWidth="1"/>
    <col min="773" max="1026" width="9.140625" style="191"/>
    <col min="1027" max="1027" width="56.85546875" style="191" customWidth="1"/>
    <col min="1028" max="1028" width="12.5703125" style="191" customWidth="1"/>
    <col min="1029" max="1282" width="9.140625" style="191"/>
    <col min="1283" max="1283" width="56.85546875" style="191" customWidth="1"/>
    <col min="1284" max="1284" width="12.5703125" style="191" customWidth="1"/>
    <col min="1285" max="1538" width="9.140625" style="191"/>
    <col min="1539" max="1539" width="56.85546875" style="191" customWidth="1"/>
    <col min="1540" max="1540" width="12.5703125" style="191" customWidth="1"/>
    <col min="1541" max="1794" width="9.140625" style="191"/>
    <col min="1795" max="1795" width="56.85546875" style="191" customWidth="1"/>
    <col min="1796" max="1796" width="12.5703125" style="191" customWidth="1"/>
    <col min="1797" max="2050" width="9.140625" style="191"/>
    <col min="2051" max="2051" width="56.85546875" style="191" customWidth="1"/>
    <col min="2052" max="2052" width="12.5703125" style="191" customWidth="1"/>
    <col min="2053" max="2306" width="9.140625" style="191"/>
    <col min="2307" max="2307" width="56.85546875" style="191" customWidth="1"/>
    <col min="2308" max="2308" width="12.5703125" style="191" customWidth="1"/>
    <col min="2309" max="2562" width="9.140625" style="191"/>
    <col min="2563" max="2563" width="56.85546875" style="191" customWidth="1"/>
    <col min="2564" max="2564" width="12.5703125" style="191" customWidth="1"/>
    <col min="2565" max="2818" width="9.140625" style="191"/>
    <col min="2819" max="2819" width="56.85546875" style="191" customWidth="1"/>
    <col min="2820" max="2820" width="12.5703125" style="191" customWidth="1"/>
    <col min="2821" max="3074" width="9.140625" style="191"/>
    <col min="3075" max="3075" width="56.85546875" style="191" customWidth="1"/>
    <col min="3076" max="3076" width="12.5703125" style="191" customWidth="1"/>
    <col min="3077" max="3330" width="9.140625" style="191"/>
    <col min="3331" max="3331" width="56.85546875" style="191" customWidth="1"/>
    <col min="3332" max="3332" width="12.5703125" style="191" customWidth="1"/>
    <col min="3333" max="3586" width="9.140625" style="191"/>
    <col min="3587" max="3587" width="56.85546875" style="191" customWidth="1"/>
    <col min="3588" max="3588" width="12.5703125" style="191" customWidth="1"/>
    <col min="3589" max="3842" width="9.140625" style="191"/>
    <col min="3843" max="3843" width="56.85546875" style="191" customWidth="1"/>
    <col min="3844" max="3844" width="12.5703125" style="191" customWidth="1"/>
    <col min="3845" max="4098" width="9.140625" style="191"/>
    <col min="4099" max="4099" width="56.85546875" style="191" customWidth="1"/>
    <col min="4100" max="4100" width="12.5703125" style="191" customWidth="1"/>
    <col min="4101" max="4354" width="9.140625" style="191"/>
    <col min="4355" max="4355" width="56.85546875" style="191" customWidth="1"/>
    <col min="4356" max="4356" width="12.5703125" style="191" customWidth="1"/>
    <col min="4357" max="4610" width="9.140625" style="191"/>
    <col min="4611" max="4611" width="56.85546875" style="191" customWidth="1"/>
    <col min="4612" max="4612" width="12.5703125" style="191" customWidth="1"/>
    <col min="4613" max="4866" width="9.140625" style="191"/>
    <col min="4867" max="4867" width="56.85546875" style="191" customWidth="1"/>
    <col min="4868" max="4868" width="12.5703125" style="191" customWidth="1"/>
    <col min="4869" max="5122" width="9.140625" style="191"/>
    <col min="5123" max="5123" width="56.85546875" style="191" customWidth="1"/>
    <col min="5124" max="5124" width="12.5703125" style="191" customWidth="1"/>
    <col min="5125" max="5378" width="9.140625" style="191"/>
    <col min="5379" max="5379" width="56.85546875" style="191" customWidth="1"/>
    <col min="5380" max="5380" width="12.5703125" style="191" customWidth="1"/>
    <col min="5381" max="5634" width="9.140625" style="191"/>
    <col min="5635" max="5635" width="56.85546875" style="191" customWidth="1"/>
    <col min="5636" max="5636" width="12.5703125" style="191" customWidth="1"/>
    <col min="5637" max="5890" width="9.140625" style="191"/>
    <col min="5891" max="5891" width="56.85546875" style="191" customWidth="1"/>
    <col min="5892" max="5892" width="12.5703125" style="191" customWidth="1"/>
    <col min="5893" max="6146" width="9.140625" style="191"/>
    <col min="6147" max="6147" width="56.85546875" style="191" customWidth="1"/>
    <col min="6148" max="6148" width="12.5703125" style="191" customWidth="1"/>
    <col min="6149" max="6402" width="9.140625" style="191"/>
    <col min="6403" max="6403" width="56.85546875" style="191" customWidth="1"/>
    <col min="6404" max="6404" width="12.5703125" style="191" customWidth="1"/>
    <col min="6405" max="6658" width="9.140625" style="191"/>
    <col min="6659" max="6659" width="56.85546875" style="191" customWidth="1"/>
    <col min="6660" max="6660" width="12.5703125" style="191" customWidth="1"/>
    <col min="6661" max="6914" width="9.140625" style="191"/>
    <col min="6915" max="6915" width="56.85546875" style="191" customWidth="1"/>
    <col min="6916" max="6916" width="12.5703125" style="191" customWidth="1"/>
    <col min="6917" max="7170" width="9.140625" style="191"/>
    <col min="7171" max="7171" width="56.85546875" style="191" customWidth="1"/>
    <col min="7172" max="7172" width="12.5703125" style="191" customWidth="1"/>
    <col min="7173" max="7426" width="9.140625" style="191"/>
    <col min="7427" max="7427" width="56.85546875" style="191" customWidth="1"/>
    <col min="7428" max="7428" width="12.5703125" style="191" customWidth="1"/>
    <col min="7429" max="7682" width="9.140625" style="191"/>
    <col min="7683" max="7683" width="56.85546875" style="191" customWidth="1"/>
    <col min="7684" max="7684" width="12.5703125" style="191" customWidth="1"/>
    <col min="7685" max="7938" width="9.140625" style="191"/>
    <col min="7939" max="7939" width="56.85546875" style="191" customWidth="1"/>
    <col min="7940" max="7940" width="12.5703125" style="191" customWidth="1"/>
    <col min="7941" max="8194" width="9.140625" style="191"/>
    <col min="8195" max="8195" width="56.85546875" style="191" customWidth="1"/>
    <col min="8196" max="8196" width="12.5703125" style="191" customWidth="1"/>
    <col min="8197" max="8450" width="9.140625" style="191"/>
    <col min="8451" max="8451" width="56.85546875" style="191" customWidth="1"/>
    <col min="8452" max="8452" width="12.5703125" style="191" customWidth="1"/>
    <col min="8453" max="8706" width="9.140625" style="191"/>
    <col min="8707" max="8707" width="56.85546875" style="191" customWidth="1"/>
    <col min="8708" max="8708" width="12.5703125" style="191" customWidth="1"/>
    <col min="8709" max="8962" width="9.140625" style="191"/>
    <col min="8963" max="8963" width="56.85546875" style="191" customWidth="1"/>
    <col min="8964" max="8964" width="12.5703125" style="191" customWidth="1"/>
    <col min="8965" max="9218" width="9.140625" style="191"/>
    <col min="9219" max="9219" width="56.85546875" style="191" customWidth="1"/>
    <col min="9220" max="9220" width="12.5703125" style="191" customWidth="1"/>
    <col min="9221" max="9474" width="9.140625" style="191"/>
    <col min="9475" max="9475" width="56.85546875" style="191" customWidth="1"/>
    <col min="9476" max="9476" width="12.5703125" style="191" customWidth="1"/>
    <col min="9477" max="9730" width="9.140625" style="191"/>
    <col min="9731" max="9731" width="56.85546875" style="191" customWidth="1"/>
    <col min="9732" max="9732" width="12.5703125" style="191" customWidth="1"/>
    <col min="9733" max="9986" width="9.140625" style="191"/>
    <col min="9987" max="9987" width="56.85546875" style="191" customWidth="1"/>
    <col min="9988" max="9988" width="12.5703125" style="191" customWidth="1"/>
    <col min="9989" max="10242" width="9.140625" style="191"/>
    <col min="10243" max="10243" width="56.85546875" style="191" customWidth="1"/>
    <col min="10244" max="10244" width="12.5703125" style="191" customWidth="1"/>
    <col min="10245" max="10498" width="9.140625" style="191"/>
    <col min="10499" max="10499" width="56.85546875" style="191" customWidth="1"/>
    <col min="10500" max="10500" width="12.5703125" style="191" customWidth="1"/>
    <col min="10501" max="10754" width="9.140625" style="191"/>
    <col min="10755" max="10755" width="56.85546875" style="191" customWidth="1"/>
    <col min="10756" max="10756" width="12.5703125" style="191" customWidth="1"/>
    <col min="10757" max="11010" width="9.140625" style="191"/>
    <col min="11011" max="11011" width="56.85546875" style="191" customWidth="1"/>
    <col min="11012" max="11012" width="12.5703125" style="191" customWidth="1"/>
    <col min="11013" max="11266" width="9.140625" style="191"/>
    <col min="11267" max="11267" width="56.85546875" style="191" customWidth="1"/>
    <col min="11268" max="11268" width="12.5703125" style="191" customWidth="1"/>
    <col min="11269" max="11522" width="9.140625" style="191"/>
    <col min="11523" max="11523" width="56.85546875" style="191" customWidth="1"/>
    <col min="11524" max="11524" width="12.5703125" style="191" customWidth="1"/>
    <col min="11525" max="11778" width="9.140625" style="191"/>
    <col min="11779" max="11779" width="56.85546875" style="191" customWidth="1"/>
    <col min="11780" max="11780" width="12.5703125" style="191" customWidth="1"/>
    <col min="11781" max="12034" width="9.140625" style="191"/>
    <col min="12035" max="12035" width="56.85546875" style="191" customWidth="1"/>
    <col min="12036" max="12036" width="12.5703125" style="191" customWidth="1"/>
    <col min="12037" max="12290" width="9.140625" style="191"/>
    <col min="12291" max="12291" width="56.85546875" style="191" customWidth="1"/>
    <col min="12292" max="12292" width="12.5703125" style="191" customWidth="1"/>
    <col min="12293" max="12546" width="9.140625" style="191"/>
    <col min="12547" max="12547" width="56.85546875" style="191" customWidth="1"/>
    <col min="12548" max="12548" width="12.5703125" style="191" customWidth="1"/>
    <col min="12549" max="12802" width="9.140625" style="191"/>
    <col min="12803" max="12803" width="56.85546875" style="191" customWidth="1"/>
    <col min="12804" max="12804" width="12.5703125" style="191" customWidth="1"/>
    <col min="12805" max="13058" width="9.140625" style="191"/>
    <col min="13059" max="13059" width="56.85546875" style="191" customWidth="1"/>
    <col min="13060" max="13060" width="12.5703125" style="191" customWidth="1"/>
    <col min="13061" max="13314" width="9.140625" style="191"/>
    <col min="13315" max="13315" width="56.85546875" style="191" customWidth="1"/>
    <col min="13316" max="13316" width="12.5703125" style="191" customWidth="1"/>
    <col min="13317" max="13570" width="9.140625" style="191"/>
    <col min="13571" max="13571" width="56.85546875" style="191" customWidth="1"/>
    <col min="13572" max="13572" width="12.5703125" style="191" customWidth="1"/>
    <col min="13573" max="13826" width="9.140625" style="191"/>
    <col min="13827" max="13827" width="56.85546875" style="191" customWidth="1"/>
    <col min="13828" max="13828" width="12.5703125" style="191" customWidth="1"/>
    <col min="13829" max="14082" width="9.140625" style="191"/>
    <col min="14083" max="14083" width="56.85546875" style="191" customWidth="1"/>
    <col min="14084" max="14084" width="12.5703125" style="191" customWidth="1"/>
    <col min="14085" max="14338" width="9.140625" style="191"/>
    <col min="14339" max="14339" width="56.85546875" style="191" customWidth="1"/>
    <col min="14340" max="14340" width="12.5703125" style="191" customWidth="1"/>
    <col min="14341" max="14594" width="9.140625" style="191"/>
    <col min="14595" max="14595" width="56.85546875" style="191" customWidth="1"/>
    <col min="14596" max="14596" width="12.5703125" style="191" customWidth="1"/>
    <col min="14597" max="14850" width="9.140625" style="191"/>
    <col min="14851" max="14851" width="56.85546875" style="191" customWidth="1"/>
    <col min="14852" max="14852" width="12.5703125" style="191" customWidth="1"/>
    <col min="14853" max="15106" width="9.140625" style="191"/>
    <col min="15107" max="15107" width="56.85546875" style="191" customWidth="1"/>
    <col min="15108" max="15108" width="12.5703125" style="191" customWidth="1"/>
    <col min="15109" max="15362" width="9.140625" style="191"/>
    <col min="15363" max="15363" width="56.85546875" style="191" customWidth="1"/>
    <col min="15364" max="15364" width="12.5703125" style="191" customWidth="1"/>
    <col min="15365" max="15618" width="9.140625" style="191"/>
    <col min="15619" max="15619" width="56.85546875" style="191" customWidth="1"/>
    <col min="15620" max="15620" width="12.5703125" style="191" customWidth="1"/>
    <col min="15621" max="15874" width="9.140625" style="191"/>
    <col min="15875" max="15875" width="56.85546875" style="191" customWidth="1"/>
    <col min="15876" max="15876" width="12.5703125" style="191" customWidth="1"/>
    <col min="15877" max="16130" width="9.140625" style="191"/>
    <col min="16131" max="16131" width="56.85546875" style="191" customWidth="1"/>
    <col min="16132" max="16132" width="12.5703125" style="191" customWidth="1"/>
    <col min="16133" max="16384" width="9.140625" style="191"/>
  </cols>
  <sheetData>
    <row r="4" spans="1:4" ht="80.25" customHeight="1" x14ac:dyDescent="0.2"/>
    <row r="5" spans="1:4" ht="15" customHeight="1" x14ac:dyDescent="0.3">
      <c r="A5" s="700" t="s">
        <v>125</v>
      </c>
      <c r="B5" s="700"/>
      <c r="C5" s="700"/>
      <c r="D5" s="700"/>
    </row>
    <row r="6" spans="1:4" ht="12" customHeight="1" x14ac:dyDescent="0.25">
      <c r="A6" s="699"/>
      <c r="B6" s="699"/>
      <c r="C6" s="699"/>
      <c r="D6" s="699"/>
    </row>
    <row r="7" spans="1:4" ht="16.5" customHeight="1" x14ac:dyDescent="0.3">
      <c r="A7" s="225" t="s">
        <v>126</v>
      </c>
    </row>
    <row r="8" spans="1:4" x14ac:dyDescent="0.2">
      <c r="A8" s="226" t="s">
        <v>127</v>
      </c>
      <c r="B8" s="227" t="s">
        <v>170</v>
      </c>
      <c r="C8" s="228"/>
      <c r="D8" s="226" t="s">
        <v>36</v>
      </c>
    </row>
    <row r="9" spans="1:4" ht="12" customHeight="1" x14ac:dyDescent="0.2">
      <c r="A9" s="229" t="s">
        <v>128</v>
      </c>
      <c r="B9" s="230" t="s">
        <v>129</v>
      </c>
      <c r="C9" s="228"/>
      <c r="D9" s="231">
        <v>0.2</v>
      </c>
    </row>
    <row r="10" spans="1:4" ht="12" customHeight="1" x14ac:dyDescent="0.2">
      <c r="A10" s="229" t="s">
        <v>130</v>
      </c>
      <c r="B10" s="230" t="s">
        <v>131</v>
      </c>
      <c r="C10" s="228"/>
      <c r="D10" s="231">
        <v>0.08</v>
      </c>
    </row>
    <row r="11" spans="1:4" ht="12" customHeight="1" x14ac:dyDescent="0.2">
      <c r="A11" s="232" t="s">
        <v>132</v>
      </c>
      <c r="B11" s="233" t="s">
        <v>171</v>
      </c>
      <c r="C11" s="228"/>
      <c r="D11" s="231">
        <v>1.4999999999999999E-2</v>
      </c>
    </row>
    <row r="12" spans="1:4" ht="12" customHeight="1" x14ac:dyDescent="0.2">
      <c r="A12" s="229" t="s">
        <v>133</v>
      </c>
      <c r="B12" s="230" t="s">
        <v>172</v>
      </c>
      <c r="C12" s="234"/>
      <c r="D12" s="231">
        <v>0.01</v>
      </c>
    </row>
    <row r="13" spans="1:4" ht="12" customHeight="1" x14ac:dyDescent="0.2">
      <c r="A13" s="229" t="s">
        <v>135</v>
      </c>
      <c r="B13" s="230" t="s">
        <v>140</v>
      </c>
      <c r="C13" s="234"/>
      <c r="D13" s="231">
        <v>2E-3</v>
      </c>
    </row>
    <row r="14" spans="1:4" ht="12" customHeight="1" x14ac:dyDescent="0.2">
      <c r="A14" s="229" t="s">
        <v>136</v>
      </c>
      <c r="B14" s="230" t="s">
        <v>134</v>
      </c>
      <c r="C14" s="234"/>
      <c r="D14" s="231">
        <v>2.5000000000000001E-2</v>
      </c>
    </row>
    <row r="15" spans="1:4" ht="12" customHeight="1" x14ac:dyDescent="0.2">
      <c r="A15" s="229" t="s">
        <v>137</v>
      </c>
      <c r="B15" s="230" t="s">
        <v>173</v>
      </c>
      <c r="C15" s="234"/>
      <c r="D15" s="231">
        <v>0.03</v>
      </c>
    </row>
    <row r="16" spans="1:4" ht="12" customHeight="1" x14ac:dyDescent="0.2">
      <c r="A16" s="229" t="s">
        <v>139</v>
      </c>
      <c r="B16" s="230" t="s">
        <v>138</v>
      </c>
      <c r="C16" s="234"/>
      <c r="D16" s="231">
        <v>6.0000000000000001E-3</v>
      </c>
    </row>
    <row r="17" spans="1:6" ht="12" customHeight="1" x14ac:dyDescent="0.2">
      <c r="A17" s="229" t="s">
        <v>174</v>
      </c>
      <c r="B17" s="230" t="s">
        <v>175</v>
      </c>
      <c r="C17" s="234"/>
      <c r="D17" s="231">
        <v>0.01</v>
      </c>
    </row>
    <row r="18" spans="1:6" x14ac:dyDescent="0.2">
      <c r="A18" s="235"/>
      <c r="B18" s="235" t="s">
        <v>141</v>
      </c>
      <c r="C18" s="236"/>
      <c r="D18" s="237">
        <f>SUM(D9:D17)</f>
        <v>0.37800000000000011</v>
      </c>
      <c r="F18" s="238">
        <f>D18</f>
        <v>0.37800000000000011</v>
      </c>
    </row>
    <row r="19" spans="1:6" ht="14.25" customHeight="1" x14ac:dyDescent="0.2">
      <c r="A19" s="212" t="s">
        <v>142</v>
      </c>
      <c r="B19" s="212"/>
      <c r="C19" s="212"/>
      <c r="D19" s="239"/>
    </row>
    <row r="20" spans="1:6" x14ac:dyDescent="0.2">
      <c r="A20" s="226" t="s">
        <v>143</v>
      </c>
      <c r="B20" s="227" t="s">
        <v>176</v>
      </c>
      <c r="C20" s="228"/>
      <c r="D20" s="226" t="s">
        <v>36</v>
      </c>
    </row>
    <row r="21" spans="1:6" ht="12" customHeight="1" x14ac:dyDescent="0.2">
      <c r="A21" s="229" t="s">
        <v>144</v>
      </c>
      <c r="B21" s="230" t="s">
        <v>177</v>
      </c>
      <c r="C21" s="228"/>
      <c r="D21" s="231">
        <v>6.3E-3</v>
      </c>
    </row>
    <row r="22" spans="1:6" ht="12" customHeight="1" x14ac:dyDescent="0.2">
      <c r="A22" s="229" t="s">
        <v>145</v>
      </c>
      <c r="B22" s="230" t="s">
        <v>178</v>
      </c>
      <c r="C22" s="228"/>
      <c r="D22" s="231">
        <v>1.2999999999999999E-3</v>
      </c>
    </row>
    <row r="23" spans="1:6" ht="12" customHeight="1" x14ac:dyDescent="0.2">
      <c r="A23" s="229" t="s">
        <v>146</v>
      </c>
      <c r="B23" s="230" t="s">
        <v>179</v>
      </c>
      <c r="C23" s="228"/>
      <c r="D23" s="231">
        <v>5.0000000000000001E-4</v>
      </c>
    </row>
    <row r="24" spans="1:6" ht="12" customHeight="1" x14ac:dyDescent="0.2">
      <c r="A24" s="229" t="s">
        <v>147</v>
      </c>
      <c r="B24" s="230" t="s">
        <v>180</v>
      </c>
      <c r="C24" s="228"/>
      <c r="D24" s="231">
        <v>2.0000000000000001E-4</v>
      </c>
    </row>
    <row r="25" spans="1:6" ht="12" customHeight="1" x14ac:dyDescent="0.2">
      <c r="A25" s="229" t="s">
        <v>182</v>
      </c>
      <c r="B25" s="230" t="s">
        <v>181</v>
      </c>
      <c r="C25" s="228"/>
      <c r="D25" s="231">
        <v>5.5999999999999999E-3</v>
      </c>
    </row>
    <row r="26" spans="1:6" ht="12" customHeight="1" x14ac:dyDescent="0.2">
      <c r="A26" s="229" t="s">
        <v>184</v>
      </c>
      <c r="B26" s="230" t="s">
        <v>183</v>
      </c>
      <c r="C26" s="228"/>
      <c r="D26" s="231">
        <v>0.1111</v>
      </c>
    </row>
    <row r="27" spans="1:6" ht="12" customHeight="1" x14ac:dyDescent="0.2">
      <c r="A27" s="229" t="s">
        <v>185</v>
      </c>
      <c r="B27" s="230" t="s">
        <v>153</v>
      </c>
      <c r="C27" s="228"/>
      <c r="D27" s="231">
        <v>8.3299999999999999E-2</v>
      </c>
    </row>
    <row r="28" spans="1:6" x14ac:dyDescent="0.2">
      <c r="A28" s="229"/>
      <c r="B28" s="227" t="s">
        <v>148</v>
      </c>
      <c r="C28" s="240"/>
      <c r="D28" s="241">
        <f>SUM(D21:D27)</f>
        <v>0.20829999999999999</v>
      </c>
      <c r="F28" s="238">
        <f>D28</f>
        <v>0.20829999999999999</v>
      </c>
    </row>
    <row r="29" spans="1:6" ht="15.75" customHeight="1" x14ac:dyDescent="0.2">
      <c r="A29" s="212" t="s">
        <v>149</v>
      </c>
      <c r="B29" s="212"/>
      <c r="C29" s="212"/>
      <c r="D29" s="239"/>
    </row>
    <row r="30" spans="1:6" x14ac:dyDescent="0.2">
      <c r="A30" s="226" t="s">
        <v>150</v>
      </c>
      <c r="B30" s="227" t="s">
        <v>186</v>
      </c>
      <c r="C30" s="228"/>
      <c r="D30" s="226" t="s">
        <v>36</v>
      </c>
    </row>
    <row r="31" spans="1:6" ht="12" customHeight="1" x14ac:dyDescent="0.2">
      <c r="A31" s="229" t="s">
        <v>151</v>
      </c>
      <c r="B31" s="230" t="s">
        <v>187</v>
      </c>
      <c r="C31" s="228"/>
      <c r="D31" s="231">
        <v>4.5499999999999999E-2</v>
      </c>
    </row>
    <row r="32" spans="1:6" ht="12" customHeight="1" x14ac:dyDescent="0.2">
      <c r="A32" s="229" t="s">
        <v>152</v>
      </c>
      <c r="B32" s="230" t="s">
        <v>155</v>
      </c>
      <c r="C32" s="228"/>
      <c r="D32" s="231">
        <v>2.2000000000000001E-3</v>
      </c>
    </row>
    <row r="33" spans="1:6" ht="12" customHeight="1" x14ac:dyDescent="0.2">
      <c r="A33" s="229" t="s">
        <v>154</v>
      </c>
      <c r="B33" s="230" t="s">
        <v>188</v>
      </c>
      <c r="C33" s="228"/>
      <c r="D33" s="231">
        <v>3.6700000000000003E-2</v>
      </c>
    </row>
    <row r="34" spans="1:6" ht="12" customHeight="1" x14ac:dyDescent="0.2">
      <c r="A34" s="229" t="s">
        <v>189</v>
      </c>
      <c r="B34" s="230" t="s">
        <v>161</v>
      </c>
      <c r="C34" s="228"/>
      <c r="D34" s="231">
        <v>3.8E-3</v>
      </c>
    </row>
    <row r="35" spans="1:6" x14ac:dyDescent="0.2">
      <c r="A35" s="232"/>
      <c r="B35" s="242" t="s">
        <v>148</v>
      </c>
      <c r="C35" s="228"/>
      <c r="D35" s="241">
        <f>SUM(D31:D34)</f>
        <v>8.8200000000000001E-2</v>
      </c>
      <c r="F35" s="238">
        <f>D35</f>
        <v>8.8200000000000001E-2</v>
      </c>
    </row>
    <row r="36" spans="1:6" ht="15" customHeight="1" x14ac:dyDescent="0.2">
      <c r="A36" s="212" t="s">
        <v>156</v>
      </c>
      <c r="B36" s="212"/>
      <c r="C36" s="212"/>
      <c r="D36" s="239"/>
    </row>
    <row r="37" spans="1:6" x14ac:dyDescent="0.2">
      <c r="A37" s="226" t="s">
        <v>157</v>
      </c>
      <c r="B37" s="227" t="s">
        <v>190</v>
      </c>
      <c r="C37" s="228"/>
      <c r="D37" s="226" t="s">
        <v>36</v>
      </c>
    </row>
    <row r="38" spans="1:6" ht="12.75" customHeight="1" x14ac:dyDescent="0.2">
      <c r="A38" s="229" t="s">
        <v>158</v>
      </c>
      <c r="B38" s="230" t="s">
        <v>191</v>
      </c>
      <c r="C38" s="228"/>
      <c r="D38" s="231">
        <v>7.8700000000000006E-2</v>
      </c>
    </row>
    <row r="39" spans="1:6" ht="12.75" customHeight="1" x14ac:dyDescent="0.2">
      <c r="A39" s="232" t="s">
        <v>193</v>
      </c>
      <c r="B39" s="243" t="s">
        <v>192</v>
      </c>
      <c r="C39" s="244"/>
      <c r="D39" s="231">
        <v>3.8E-3</v>
      </c>
    </row>
    <row r="40" spans="1:6" ht="12.75" customHeight="1" x14ac:dyDescent="0.2">
      <c r="A40" s="232" t="s">
        <v>159</v>
      </c>
      <c r="B40" s="243" t="s">
        <v>160</v>
      </c>
      <c r="C40" s="228"/>
      <c r="D40" s="231">
        <v>1.9E-3</v>
      </c>
    </row>
    <row r="41" spans="1:6" x14ac:dyDescent="0.2">
      <c r="A41" s="232"/>
      <c r="B41" s="242" t="s">
        <v>148</v>
      </c>
      <c r="C41" s="228"/>
      <c r="D41" s="241">
        <f>SUM(D38:D40)</f>
        <v>8.4400000000000003E-2</v>
      </c>
      <c r="F41" s="238">
        <f>D41</f>
        <v>8.4400000000000003E-2</v>
      </c>
    </row>
    <row r="42" spans="1:6" ht="16.5" customHeight="1" x14ac:dyDescent="0.2">
      <c r="A42" s="245" t="s">
        <v>43</v>
      </c>
      <c r="B42" s="246"/>
      <c r="C42" s="246"/>
      <c r="D42" s="247"/>
    </row>
    <row r="43" spans="1:6" s="252" customFormat="1" ht="11.25" customHeight="1" x14ac:dyDescent="0.2">
      <c r="A43" s="248" t="s">
        <v>162</v>
      </c>
      <c r="B43" s="249"/>
      <c r="C43" s="250"/>
      <c r="D43" s="251">
        <f>D18</f>
        <v>0.37800000000000011</v>
      </c>
    </row>
    <row r="44" spans="1:6" s="252" customFormat="1" ht="11.25" customHeight="1" x14ac:dyDescent="0.2">
      <c r="A44" s="248" t="s">
        <v>163</v>
      </c>
      <c r="B44" s="249"/>
      <c r="C44" s="250"/>
      <c r="D44" s="251">
        <f>D28</f>
        <v>0.20829999999999999</v>
      </c>
    </row>
    <row r="45" spans="1:6" s="252" customFormat="1" ht="11.25" customHeight="1" x14ac:dyDescent="0.2">
      <c r="A45" s="248" t="s">
        <v>164</v>
      </c>
      <c r="B45" s="249"/>
      <c r="C45" s="250"/>
      <c r="D45" s="251">
        <f>D35</f>
        <v>8.8200000000000001E-2</v>
      </c>
    </row>
    <row r="46" spans="1:6" s="252" customFormat="1" ht="11.25" customHeight="1" x14ac:dyDescent="0.2">
      <c r="A46" s="248" t="s">
        <v>165</v>
      </c>
      <c r="B46" s="249"/>
      <c r="C46" s="250"/>
      <c r="D46" s="251">
        <f>D41</f>
        <v>8.4400000000000003E-2</v>
      </c>
    </row>
    <row r="47" spans="1:6" s="252" customFormat="1" ht="11.25" customHeight="1" x14ac:dyDescent="0.2">
      <c r="A47" s="253" t="s">
        <v>0</v>
      </c>
      <c r="B47" s="254"/>
      <c r="C47" s="250"/>
      <c r="D47" s="255">
        <f>SUM(D43:D46)</f>
        <v>0.75890000000000013</v>
      </c>
    </row>
    <row r="48" spans="1:6" ht="29.45" customHeight="1" x14ac:dyDescent="0.2">
      <c r="A48" s="200" t="s">
        <v>265</v>
      </c>
    </row>
    <row r="49" spans="1:3" ht="15" x14ac:dyDescent="0.2">
      <c r="A49" s="428" t="str">
        <f>'Orçamento Geral '!$A$22</f>
        <v>Heitorai, 05/2021</v>
      </c>
    </row>
    <row r="50" spans="1:3" ht="8.25" customHeight="1" x14ac:dyDescent="0.2">
      <c r="A50" s="256"/>
    </row>
    <row r="51" spans="1:3" ht="15" x14ac:dyDescent="0.2">
      <c r="A51" s="256"/>
    </row>
    <row r="53" spans="1:3" ht="15" x14ac:dyDescent="0.25">
      <c r="C53" s="474"/>
    </row>
    <row r="54" spans="1:3" ht="15" x14ac:dyDescent="0.25">
      <c r="C54" s="474"/>
    </row>
  </sheetData>
  <mergeCells count="2">
    <mergeCell ref="A6:D6"/>
    <mergeCell ref="A5:D5"/>
  </mergeCells>
  <printOptions horizontalCentered="1"/>
  <pageMargins left="0.70866141732283472" right="0.51181102362204722" top="0.98425196850393704" bottom="0.59055118110236227" header="0" footer="0.31496062992125984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5:L32"/>
  <sheetViews>
    <sheetView showGridLines="0" zoomScaleSheetLayoutView="70" workbookViewId="0">
      <selection activeCell="H9" sqref="H9"/>
    </sheetView>
  </sheetViews>
  <sheetFormatPr defaultColWidth="9.140625" defaultRowHeight="12.75" x14ac:dyDescent="0.2"/>
  <cols>
    <col min="1" max="1" width="10.140625" style="2" customWidth="1"/>
    <col min="2" max="2" width="40.28515625" style="2" customWidth="1"/>
    <col min="3" max="3" width="16.7109375" style="2" customWidth="1"/>
    <col min="4" max="4" width="12.28515625" style="2" customWidth="1"/>
    <col min="5" max="5" width="14" style="3" customWidth="1"/>
    <col min="6" max="6" width="16.7109375" style="3" customWidth="1"/>
    <col min="7" max="7" width="9.140625" style="2"/>
    <col min="8" max="8" width="17.28515625" style="2" bestFit="1" customWidth="1"/>
    <col min="9" max="9" width="13.5703125" style="2" customWidth="1"/>
    <col min="10" max="10" width="16.85546875" style="2" customWidth="1"/>
    <col min="11" max="11" width="13.7109375" style="136" bestFit="1" customWidth="1"/>
    <col min="12" max="12" width="9.42578125" style="136" bestFit="1" customWidth="1"/>
    <col min="13" max="16384" width="9.140625" style="2"/>
  </cols>
  <sheetData>
    <row r="5" spans="1:12" ht="80.45" customHeight="1" x14ac:dyDescent="0.2"/>
    <row r="6" spans="1:12" ht="16.5" customHeight="1" x14ac:dyDescent="0.2">
      <c r="A6" s="214" t="str">
        <f>'Orçamento Geral '!$A$6</f>
        <v>MUNICIPIO DE HEITORAÍ</v>
      </c>
    </row>
    <row r="7" spans="1:12" ht="21" customHeight="1" x14ac:dyDescent="0.2">
      <c r="A7" s="214" t="s">
        <v>113</v>
      </c>
    </row>
    <row r="8" spans="1:12" ht="16.5" customHeight="1" thickBot="1" x14ac:dyDescent="0.25"/>
    <row r="9" spans="1:12" s="62" customFormat="1" ht="37.5" customHeight="1" thickBot="1" x14ac:dyDescent="0.25">
      <c r="A9" s="551" t="s">
        <v>100</v>
      </c>
      <c r="B9" s="552"/>
      <c r="C9" s="552"/>
      <c r="D9" s="552"/>
      <c r="E9" s="552"/>
      <c r="F9" s="553"/>
      <c r="K9" s="135"/>
      <c r="L9" s="135"/>
    </row>
    <row r="10" spans="1:12" s="62" customFormat="1" ht="20.100000000000001" customHeight="1" x14ac:dyDescent="0.2">
      <c r="A10" s="63"/>
      <c r="B10" s="64"/>
      <c r="C10" s="68"/>
      <c r="D10" s="68"/>
      <c r="E10" s="69"/>
      <c r="F10" s="69"/>
      <c r="K10" s="135"/>
      <c r="L10" s="135"/>
    </row>
    <row r="11" spans="1:12" s="62" customFormat="1" ht="15" customHeight="1" thickBot="1" x14ac:dyDescent="0.25">
      <c r="A11" s="70"/>
      <c r="B11" s="71"/>
      <c r="C11" s="71"/>
      <c r="D11" s="72"/>
      <c r="E11" s="73"/>
      <c r="F11" s="73"/>
      <c r="K11" s="135"/>
      <c r="L11" s="135"/>
    </row>
    <row r="12" spans="1:12" s="65" customFormat="1" ht="15" customHeight="1" x14ac:dyDescent="0.2">
      <c r="A12" s="554" t="s">
        <v>2</v>
      </c>
      <c r="B12" s="549" t="s">
        <v>3</v>
      </c>
      <c r="C12" s="549" t="s">
        <v>4</v>
      </c>
      <c r="D12" s="549" t="s">
        <v>11</v>
      </c>
      <c r="E12" s="556" t="s">
        <v>91</v>
      </c>
      <c r="F12" s="558" t="s">
        <v>263</v>
      </c>
      <c r="K12" s="441"/>
      <c r="L12" s="441"/>
    </row>
    <row r="13" spans="1:12" s="65" customFormat="1" ht="33" customHeight="1" x14ac:dyDescent="0.2">
      <c r="A13" s="555"/>
      <c r="B13" s="550"/>
      <c r="C13" s="550"/>
      <c r="D13" s="550"/>
      <c r="E13" s="557"/>
      <c r="F13" s="559"/>
      <c r="H13" s="429"/>
      <c r="I13" s="429"/>
      <c r="K13" s="441"/>
      <c r="L13" s="441"/>
    </row>
    <row r="14" spans="1:12" s="66" customFormat="1" ht="91.9" customHeight="1" x14ac:dyDescent="0.2">
      <c r="A14" s="216">
        <v>1</v>
      </c>
      <c r="B14" s="217" t="str">
        <f>'Orçamento Geral '!B14</f>
        <v>Operação de Coleta e transporte de resíduos sólidos domiciliares e comerciais.</v>
      </c>
      <c r="C14" s="274" t="str">
        <f>'Orçamento Geral '!C14</f>
        <v xml:space="preserve"> Equipe completa com Compactadores, Coletores, Motoristas e demais insumos </v>
      </c>
      <c r="D14" s="219">
        <v>1</v>
      </c>
      <c r="E14" s="220"/>
      <c r="F14" s="221">
        <f>D14*E14</f>
        <v>0</v>
      </c>
      <c r="H14" s="316"/>
      <c r="I14" s="427"/>
      <c r="K14" s="316"/>
      <c r="L14" s="316"/>
    </row>
    <row r="15" spans="1:12" s="66" customFormat="1" ht="55.9" customHeight="1" x14ac:dyDescent="0.2">
      <c r="A15" s="216" t="s">
        <v>101</v>
      </c>
      <c r="B15" s="217" t="str">
        <f>'Orçamento Geral '!B15</f>
        <v xml:space="preserve">Serviço de Varrição manual de vias e logradouros públicas                             </v>
      </c>
      <c r="C15" s="218" t="str">
        <f>'Orçamento Geral '!C15</f>
        <v>KM varrido</v>
      </c>
      <c r="D15" s="219">
        <f>VARRIÇÃO!G104</f>
        <v>644.2715199999999</v>
      </c>
      <c r="E15" s="220"/>
      <c r="F15" s="221">
        <f>D15*E15</f>
        <v>0</v>
      </c>
      <c r="H15" s="316"/>
      <c r="I15" s="427"/>
      <c r="K15" s="316"/>
      <c r="L15" s="316"/>
    </row>
    <row r="16" spans="1:12" s="66" customFormat="1" ht="55.9" customHeight="1" x14ac:dyDescent="0.2">
      <c r="A16" s="512" t="s">
        <v>409</v>
      </c>
      <c r="B16" s="217" t="str">
        <f>'Orçamento Geral '!B16</f>
        <v>Serviço Gerais</v>
      </c>
      <c r="C16" s="218" t="str">
        <f>'Orçamento Geral '!C16</f>
        <v>Equipe</v>
      </c>
      <c r="D16" s="219">
        <v>1</v>
      </c>
      <c r="E16" s="516"/>
      <c r="F16" s="517"/>
      <c r="H16" s="316"/>
      <c r="I16" s="427"/>
      <c r="K16" s="316"/>
      <c r="L16" s="316"/>
    </row>
    <row r="17" spans="1:12" s="67" customFormat="1" ht="38.25" customHeight="1" thickBot="1" x14ac:dyDescent="0.25">
      <c r="A17" s="546" t="s">
        <v>0</v>
      </c>
      <c r="B17" s="547"/>
      <c r="C17" s="547"/>
      <c r="D17" s="547"/>
      <c r="E17" s="548"/>
      <c r="F17" s="434">
        <f>F14+F15</f>
        <v>0</v>
      </c>
      <c r="H17" s="137"/>
      <c r="I17" s="427"/>
      <c r="J17" s="266"/>
      <c r="K17" s="137"/>
      <c r="L17" s="316"/>
    </row>
    <row r="18" spans="1:12" s="67" customFormat="1" ht="15" x14ac:dyDescent="0.2">
      <c r="A18" s="222"/>
      <c r="B18" s="222"/>
      <c r="C18" s="222"/>
      <c r="D18" s="222"/>
      <c r="E18" s="223"/>
      <c r="F18" s="223"/>
      <c r="H18" s="137"/>
      <c r="I18" s="267"/>
      <c r="J18" s="137"/>
      <c r="K18" s="137"/>
      <c r="L18" s="293"/>
    </row>
    <row r="19" spans="1:12" ht="15.75" x14ac:dyDescent="0.2">
      <c r="H19" s="137"/>
      <c r="I19" s="266"/>
      <c r="J19" s="138"/>
      <c r="K19" s="138"/>
    </row>
    <row r="20" spans="1:12" ht="15.75" x14ac:dyDescent="0.2">
      <c r="H20" s="137"/>
      <c r="I20" s="267"/>
      <c r="J20" s="138"/>
      <c r="K20" s="138"/>
    </row>
    <row r="21" spans="1:12" ht="15.75" x14ac:dyDescent="0.2">
      <c r="A21" s="215"/>
      <c r="H21" s="137"/>
      <c r="I21" s="268"/>
      <c r="J21" s="138"/>
    </row>
    <row r="22" spans="1:12" ht="15.75" x14ac:dyDescent="0.2">
      <c r="A22" s="215"/>
      <c r="H22" s="137"/>
      <c r="I22" s="137"/>
      <c r="J22" s="269"/>
    </row>
    <row r="23" spans="1:12" ht="15.75" x14ac:dyDescent="0.2">
      <c r="A23" s="215"/>
      <c r="H23" s="137"/>
      <c r="I23" s="137"/>
      <c r="J23" s="138"/>
    </row>
    <row r="24" spans="1:12" ht="15.75" x14ac:dyDescent="0.2">
      <c r="A24" s="215"/>
      <c r="H24" s="137"/>
      <c r="I24" s="137"/>
      <c r="J24" s="138"/>
    </row>
    <row r="25" spans="1:12" ht="15" x14ac:dyDescent="0.2">
      <c r="H25" s="137"/>
      <c r="I25" s="137"/>
      <c r="J25" s="136"/>
    </row>
    <row r="26" spans="1:12" ht="15" x14ac:dyDescent="0.2">
      <c r="H26" s="137"/>
      <c r="I26" s="137"/>
      <c r="J26" s="136"/>
    </row>
    <row r="27" spans="1:12" ht="15" x14ac:dyDescent="0.25">
      <c r="D27" s="474"/>
      <c r="H27" s="137"/>
      <c r="I27" s="137"/>
      <c r="J27" s="136"/>
    </row>
    <row r="28" spans="1:12" ht="15" x14ac:dyDescent="0.25">
      <c r="D28" s="474"/>
      <c r="H28" s="137"/>
      <c r="I28" s="137"/>
      <c r="J28" s="136"/>
    </row>
    <row r="29" spans="1:12" ht="15" x14ac:dyDescent="0.2">
      <c r="H29" s="137"/>
      <c r="I29" s="137"/>
      <c r="J29" s="136"/>
    </row>
    <row r="30" spans="1:12" ht="15" x14ac:dyDescent="0.2">
      <c r="H30" s="137"/>
      <c r="I30" s="137"/>
      <c r="J30" s="136"/>
    </row>
    <row r="31" spans="1:12" ht="15" x14ac:dyDescent="0.2">
      <c r="H31" s="137"/>
      <c r="I31" s="137"/>
      <c r="J31" s="136"/>
    </row>
    <row r="32" spans="1:12" x14ac:dyDescent="0.2">
      <c r="H32" s="136"/>
      <c r="I32" s="136"/>
      <c r="J32" s="136"/>
    </row>
  </sheetData>
  <mergeCells count="8">
    <mergeCell ref="A17:E17"/>
    <mergeCell ref="A9:F9"/>
    <mergeCell ref="A12:A13"/>
    <mergeCell ref="B12:B13"/>
    <mergeCell ref="C12:C13"/>
    <mergeCell ref="D12:D13"/>
    <mergeCell ref="E12:E13"/>
    <mergeCell ref="F12:F13"/>
  </mergeCells>
  <printOptions horizontalCentered="1"/>
  <pageMargins left="0.70866141732283472" right="0.51181102362204722" top="1.299212598425197" bottom="0.15748031496062992" header="0.51181102362204722" footer="0"/>
  <pageSetup paperSize="9" scale="83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K40"/>
  <sheetViews>
    <sheetView topLeftCell="A14" workbookViewId="0">
      <selection activeCell="B4" sqref="B4"/>
    </sheetView>
  </sheetViews>
  <sheetFormatPr defaultRowHeight="12.75" x14ac:dyDescent="0.2"/>
  <cols>
    <col min="2" max="2" width="19.85546875" customWidth="1"/>
    <col min="5" max="5" width="10.42578125" customWidth="1"/>
    <col min="6" max="35" width="4.7109375" customWidth="1"/>
    <col min="37" max="37" width="11.85546875" customWidth="1"/>
  </cols>
  <sheetData>
    <row r="4" spans="2:37" ht="81.75" customHeight="1" thickBot="1" x14ac:dyDescent="0.25"/>
    <row r="5" spans="2:37" ht="26.25" customHeight="1" thickBot="1" x14ac:dyDescent="0.25">
      <c r="B5" s="703" t="s">
        <v>311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4"/>
      <c r="X5" s="704"/>
      <c r="Y5" s="704"/>
      <c r="Z5" s="704"/>
      <c r="AA5" s="704"/>
      <c r="AB5" s="704"/>
      <c r="AC5" s="704"/>
      <c r="AD5" s="704"/>
      <c r="AE5" s="704"/>
      <c r="AF5" s="704"/>
      <c r="AG5" s="704"/>
      <c r="AH5" s="704"/>
      <c r="AI5" s="704"/>
      <c r="AJ5" s="704"/>
      <c r="AK5" s="705"/>
    </row>
    <row r="6" spans="2:37" ht="24.75" customHeight="1" thickBot="1" x14ac:dyDescent="0.25">
      <c r="B6" s="499" t="str">
        <f>'Orçamento Geral '!A6</f>
        <v>MUNICIPIO DE HEITORAÍ</v>
      </c>
      <c r="C6" s="502" t="s">
        <v>310</v>
      </c>
      <c r="D6" s="500"/>
      <c r="E6" s="501"/>
      <c r="F6" s="498">
        <v>1</v>
      </c>
      <c r="G6" s="490">
        <v>2</v>
      </c>
      <c r="H6" s="490">
        <v>3</v>
      </c>
      <c r="I6" s="490">
        <v>4</v>
      </c>
      <c r="J6" s="490">
        <v>5</v>
      </c>
      <c r="K6" s="490">
        <v>6</v>
      </c>
      <c r="L6" s="490">
        <v>7</v>
      </c>
      <c r="M6" s="490">
        <v>8</v>
      </c>
      <c r="N6" s="490">
        <v>9</v>
      </c>
      <c r="O6" s="490">
        <v>10</v>
      </c>
      <c r="P6" s="490">
        <v>11</v>
      </c>
      <c r="Q6" s="490">
        <v>12</v>
      </c>
      <c r="R6" s="490">
        <v>13</v>
      </c>
      <c r="S6" s="490">
        <v>14</v>
      </c>
      <c r="T6" s="490">
        <v>15</v>
      </c>
      <c r="U6" s="490">
        <v>16</v>
      </c>
      <c r="V6" s="490">
        <v>17</v>
      </c>
      <c r="W6" s="490">
        <v>18</v>
      </c>
      <c r="X6" s="490">
        <v>19</v>
      </c>
      <c r="Y6" s="490">
        <v>20</v>
      </c>
      <c r="Z6" s="490">
        <v>21</v>
      </c>
      <c r="AA6" s="490">
        <v>22</v>
      </c>
      <c r="AB6" s="490">
        <v>23</v>
      </c>
      <c r="AC6" s="490">
        <v>24</v>
      </c>
      <c r="AD6" s="490">
        <v>25</v>
      </c>
      <c r="AE6" s="490">
        <v>26</v>
      </c>
      <c r="AF6" s="490">
        <v>27</v>
      </c>
      <c r="AG6" s="490">
        <v>28</v>
      </c>
      <c r="AH6" s="490">
        <v>29</v>
      </c>
      <c r="AI6" s="490">
        <v>30</v>
      </c>
      <c r="AJ6" s="490" t="s">
        <v>0</v>
      </c>
      <c r="AK6" s="491" t="s">
        <v>295</v>
      </c>
    </row>
    <row r="7" spans="2:37" ht="18.75" hidden="1" x14ac:dyDescent="0.2">
      <c r="B7" s="492"/>
      <c r="C7" s="480"/>
      <c r="D7" s="480"/>
      <c r="E7" s="495"/>
      <c r="F7" s="718" t="s">
        <v>300</v>
      </c>
      <c r="G7" s="720" t="s">
        <v>301</v>
      </c>
      <c r="H7" s="714" t="s">
        <v>302</v>
      </c>
      <c r="I7" s="714" t="s">
        <v>303</v>
      </c>
      <c r="J7" s="714" t="s">
        <v>304</v>
      </c>
      <c r="K7" s="714" t="s">
        <v>305</v>
      </c>
      <c r="L7" s="714" t="s">
        <v>306</v>
      </c>
      <c r="M7" s="714" t="s">
        <v>300</v>
      </c>
      <c r="N7" s="714" t="s">
        <v>301</v>
      </c>
      <c r="O7" s="714" t="s">
        <v>302</v>
      </c>
      <c r="P7" s="714" t="s">
        <v>303</v>
      </c>
      <c r="Q7" s="714" t="s">
        <v>304</v>
      </c>
      <c r="R7" s="714" t="s">
        <v>305</v>
      </c>
      <c r="S7" s="714" t="s">
        <v>306</v>
      </c>
      <c r="T7" s="714" t="s">
        <v>300</v>
      </c>
      <c r="U7" s="714" t="s">
        <v>301</v>
      </c>
      <c r="V7" s="714" t="s">
        <v>302</v>
      </c>
      <c r="W7" s="714" t="s">
        <v>303</v>
      </c>
      <c r="X7" s="714" t="s">
        <v>304</v>
      </c>
      <c r="Y7" s="714" t="s">
        <v>305</v>
      </c>
      <c r="Z7" s="714" t="s">
        <v>306</v>
      </c>
      <c r="AA7" s="714" t="s">
        <v>300</v>
      </c>
      <c r="AB7" s="714" t="s">
        <v>301</v>
      </c>
      <c r="AC7" s="714" t="s">
        <v>302</v>
      </c>
      <c r="AD7" s="714" t="s">
        <v>303</v>
      </c>
      <c r="AE7" s="714" t="s">
        <v>304</v>
      </c>
      <c r="AF7" s="714" t="s">
        <v>305</v>
      </c>
      <c r="AG7" s="714" t="s">
        <v>306</v>
      </c>
      <c r="AH7" s="714" t="s">
        <v>300</v>
      </c>
      <c r="AI7" s="714" t="s">
        <v>301</v>
      </c>
      <c r="AJ7" s="714" t="s">
        <v>307</v>
      </c>
      <c r="AK7" s="716" t="s">
        <v>308</v>
      </c>
    </row>
    <row r="8" spans="2:37" s="110" customFormat="1" ht="21.75" customHeight="1" thickBot="1" x14ac:dyDescent="0.25">
      <c r="B8" s="496" t="s">
        <v>296</v>
      </c>
      <c r="C8" s="493" t="s">
        <v>297</v>
      </c>
      <c r="D8" s="493" t="s">
        <v>298</v>
      </c>
      <c r="E8" s="497" t="s">
        <v>299</v>
      </c>
      <c r="F8" s="719"/>
      <c r="G8" s="721"/>
      <c r="H8" s="715"/>
      <c r="I8" s="715"/>
      <c r="J8" s="715"/>
      <c r="K8" s="715"/>
      <c r="L8" s="715"/>
      <c r="M8" s="715"/>
      <c r="N8" s="715"/>
      <c r="O8" s="715"/>
      <c r="P8" s="715"/>
      <c r="Q8" s="715"/>
      <c r="R8" s="715"/>
      <c r="S8" s="715"/>
      <c r="T8" s="715"/>
      <c r="U8" s="715"/>
      <c r="V8" s="715"/>
      <c r="W8" s="715"/>
      <c r="X8" s="715"/>
      <c r="Y8" s="715"/>
      <c r="Z8" s="715"/>
      <c r="AA8" s="715"/>
      <c r="AB8" s="715"/>
      <c r="AC8" s="715"/>
      <c r="AD8" s="715"/>
      <c r="AE8" s="715"/>
      <c r="AF8" s="715"/>
      <c r="AG8" s="715"/>
      <c r="AH8" s="715"/>
      <c r="AI8" s="715"/>
      <c r="AJ8" s="715"/>
      <c r="AK8" s="717"/>
    </row>
    <row r="9" spans="2:37" ht="13.5" thickBot="1" x14ac:dyDescent="0.25">
      <c r="B9" s="483"/>
      <c r="C9" s="484">
        <v>1</v>
      </c>
      <c r="D9" s="485"/>
      <c r="E9" s="486"/>
      <c r="F9" s="487"/>
      <c r="G9" s="484" t="s">
        <v>309</v>
      </c>
      <c r="H9" s="484" t="s">
        <v>309</v>
      </c>
      <c r="I9" s="484" t="s">
        <v>309</v>
      </c>
      <c r="J9" s="487" t="s">
        <v>309</v>
      </c>
      <c r="K9" s="487" t="s">
        <v>309</v>
      </c>
      <c r="L9" s="487" t="s">
        <v>309</v>
      </c>
      <c r="M9" s="487"/>
      <c r="N9" s="487" t="s">
        <v>309</v>
      </c>
      <c r="O9" s="484" t="s">
        <v>309</v>
      </c>
      <c r="P9" s="488" t="s">
        <v>309</v>
      </c>
      <c r="Q9" s="484" t="s">
        <v>309</v>
      </c>
      <c r="R9" s="484" t="s">
        <v>309</v>
      </c>
      <c r="S9" s="488" t="s">
        <v>309</v>
      </c>
      <c r="T9" s="487"/>
      <c r="U9" s="484" t="s">
        <v>309</v>
      </c>
      <c r="V9" s="484" t="s">
        <v>309</v>
      </c>
      <c r="W9" s="488" t="s">
        <v>309</v>
      </c>
      <c r="X9" s="484" t="s">
        <v>309</v>
      </c>
      <c r="Y9" s="484" t="s">
        <v>309</v>
      </c>
      <c r="Z9" s="484" t="s">
        <v>309</v>
      </c>
      <c r="AA9" s="487"/>
      <c r="AB9" s="484" t="s">
        <v>309</v>
      </c>
      <c r="AC9" s="487" t="s">
        <v>309</v>
      </c>
      <c r="AD9" s="488" t="s">
        <v>309</v>
      </c>
      <c r="AE9" s="484" t="s">
        <v>309</v>
      </c>
      <c r="AF9" s="484" t="s">
        <v>309</v>
      </c>
      <c r="AG9" s="484" t="s">
        <v>309</v>
      </c>
      <c r="AH9" s="487"/>
      <c r="AI9" s="484" t="s">
        <v>309</v>
      </c>
      <c r="AJ9" s="484"/>
      <c r="AK9" s="484"/>
    </row>
    <row r="10" spans="2:37" ht="13.5" thickBot="1" x14ac:dyDescent="0.25">
      <c r="B10" s="483"/>
      <c r="C10" s="484">
        <v>1</v>
      </c>
      <c r="D10" s="485"/>
      <c r="E10" s="486"/>
      <c r="F10" s="494"/>
      <c r="G10" s="484" t="s">
        <v>309</v>
      </c>
      <c r="H10" s="484" t="s">
        <v>309</v>
      </c>
      <c r="I10" s="484" t="s">
        <v>309</v>
      </c>
      <c r="J10" s="487" t="s">
        <v>309</v>
      </c>
      <c r="K10" s="487" t="s">
        <v>309</v>
      </c>
      <c r="L10" s="487" t="s">
        <v>309</v>
      </c>
      <c r="M10" s="487"/>
      <c r="N10" s="487" t="s">
        <v>309</v>
      </c>
      <c r="O10" s="484" t="s">
        <v>309</v>
      </c>
      <c r="P10" s="488" t="s">
        <v>309</v>
      </c>
      <c r="Q10" s="484" t="s">
        <v>309</v>
      </c>
      <c r="R10" s="484" t="s">
        <v>309</v>
      </c>
      <c r="S10" s="488" t="s">
        <v>309</v>
      </c>
      <c r="T10" s="487"/>
      <c r="U10" s="484" t="s">
        <v>309</v>
      </c>
      <c r="V10" s="484" t="s">
        <v>309</v>
      </c>
      <c r="W10" s="488" t="s">
        <v>309</v>
      </c>
      <c r="X10" s="484" t="s">
        <v>309</v>
      </c>
      <c r="Y10" s="484" t="s">
        <v>309</v>
      </c>
      <c r="Z10" s="484" t="s">
        <v>309</v>
      </c>
      <c r="AA10" s="487"/>
      <c r="AB10" s="484" t="s">
        <v>309</v>
      </c>
      <c r="AC10" s="487" t="s">
        <v>309</v>
      </c>
      <c r="AD10" s="488" t="s">
        <v>309</v>
      </c>
      <c r="AE10" s="484" t="s">
        <v>309</v>
      </c>
      <c r="AF10" s="484" t="s">
        <v>309</v>
      </c>
      <c r="AG10" s="484" t="s">
        <v>309</v>
      </c>
      <c r="AH10" s="487"/>
      <c r="AI10" s="484" t="s">
        <v>309</v>
      </c>
      <c r="AJ10" s="484"/>
      <c r="AK10" s="484"/>
    </row>
    <row r="11" spans="2:37" ht="13.5" thickBot="1" x14ac:dyDescent="0.25">
      <c r="B11" s="483"/>
      <c r="C11" s="484">
        <v>1</v>
      </c>
      <c r="D11" s="485"/>
      <c r="E11" s="486"/>
      <c r="F11" s="494"/>
      <c r="G11" s="484" t="s">
        <v>309</v>
      </c>
      <c r="H11" s="484" t="s">
        <v>309</v>
      </c>
      <c r="I11" s="484" t="s">
        <v>309</v>
      </c>
      <c r="J11" s="487" t="s">
        <v>309</v>
      </c>
      <c r="K11" s="487" t="s">
        <v>309</v>
      </c>
      <c r="L11" s="487" t="s">
        <v>309</v>
      </c>
      <c r="M11" s="487"/>
      <c r="N11" s="487" t="s">
        <v>309</v>
      </c>
      <c r="O11" s="484" t="s">
        <v>309</v>
      </c>
      <c r="P11" s="488" t="s">
        <v>309</v>
      </c>
      <c r="Q11" s="484" t="s">
        <v>309</v>
      </c>
      <c r="R11" s="484" t="s">
        <v>309</v>
      </c>
      <c r="S11" s="488" t="s">
        <v>309</v>
      </c>
      <c r="T11" s="487"/>
      <c r="U11" s="484" t="s">
        <v>309</v>
      </c>
      <c r="V11" s="484" t="s">
        <v>309</v>
      </c>
      <c r="W11" s="488" t="s">
        <v>309</v>
      </c>
      <c r="X11" s="484" t="s">
        <v>309</v>
      </c>
      <c r="Y11" s="484" t="s">
        <v>309</v>
      </c>
      <c r="Z11" s="484" t="s">
        <v>309</v>
      </c>
      <c r="AA11" s="487"/>
      <c r="AB11" s="484" t="s">
        <v>309</v>
      </c>
      <c r="AC11" s="487" t="s">
        <v>309</v>
      </c>
      <c r="AD11" s="488" t="s">
        <v>309</v>
      </c>
      <c r="AE11" s="484" t="s">
        <v>309</v>
      </c>
      <c r="AF11" s="484" t="s">
        <v>309</v>
      </c>
      <c r="AG11" s="484" t="s">
        <v>309</v>
      </c>
      <c r="AH11" s="487"/>
      <c r="AI11" s="484" t="s">
        <v>309</v>
      </c>
      <c r="AJ11" s="484"/>
      <c r="AK11" s="484"/>
    </row>
    <row r="12" spans="2:37" ht="13.5" thickBot="1" x14ac:dyDescent="0.25">
      <c r="B12" s="483"/>
      <c r="C12" s="484">
        <v>1</v>
      </c>
      <c r="D12" s="485"/>
      <c r="E12" s="486"/>
      <c r="F12" s="494"/>
      <c r="G12" s="484" t="s">
        <v>309</v>
      </c>
      <c r="H12" s="484" t="s">
        <v>309</v>
      </c>
      <c r="I12" s="484" t="s">
        <v>309</v>
      </c>
      <c r="J12" s="487" t="s">
        <v>309</v>
      </c>
      <c r="K12" s="487" t="s">
        <v>309</v>
      </c>
      <c r="L12" s="487" t="s">
        <v>309</v>
      </c>
      <c r="M12" s="487"/>
      <c r="N12" s="487" t="s">
        <v>309</v>
      </c>
      <c r="O12" s="484" t="s">
        <v>309</v>
      </c>
      <c r="P12" s="488" t="s">
        <v>309</v>
      </c>
      <c r="Q12" s="484" t="s">
        <v>309</v>
      </c>
      <c r="R12" s="484" t="s">
        <v>309</v>
      </c>
      <c r="S12" s="488" t="s">
        <v>309</v>
      </c>
      <c r="T12" s="487"/>
      <c r="U12" s="484" t="s">
        <v>309</v>
      </c>
      <c r="V12" s="484" t="s">
        <v>309</v>
      </c>
      <c r="W12" s="488" t="s">
        <v>309</v>
      </c>
      <c r="X12" s="484" t="s">
        <v>309</v>
      </c>
      <c r="Y12" s="484" t="s">
        <v>309</v>
      </c>
      <c r="Z12" s="484" t="s">
        <v>309</v>
      </c>
      <c r="AA12" s="487"/>
      <c r="AB12" s="484" t="s">
        <v>309</v>
      </c>
      <c r="AC12" s="487" t="s">
        <v>309</v>
      </c>
      <c r="AD12" s="488" t="s">
        <v>309</v>
      </c>
      <c r="AE12" s="484" t="s">
        <v>309</v>
      </c>
      <c r="AF12" s="484" t="s">
        <v>309</v>
      </c>
      <c r="AG12" s="484" t="s">
        <v>309</v>
      </c>
      <c r="AH12" s="487"/>
      <c r="AI12" s="484" t="s">
        <v>309</v>
      </c>
      <c r="AJ12" s="484"/>
      <c r="AK12" s="484"/>
    </row>
    <row r="13" spans="2:37" ht="13.5" thickBot="1" x14ac:dyDescent="0.25">
      <c r="B13" s="483"/>
      <c r="C13" s="484">
        <v>1</v>
      </c>
      <c r="D13" s="486"/>
      <c r="E13" s="486"/>
      <c r="F13" s="494"/>
      <c r="G13" s="484" t="s">
        <v>309</v>
      </c>
      <c r="H13" s="484" t="s">
        <v>309</v>
      </c>
      <c r="I13" s="484" t="s">
        <v>309</v>
      </c>
      <c r="J13" s="487" t="s">
        <v>309</v>
      </c>
      <c r="K13" s="487" t="s">
        <v>309</v>
      </c>
      <c r="L13" s="487" t="s">
        <v>309</v>
      </c>
      <c r="M13" s="487"/>
      <c r="N13" s="487" t="s">
        <v>309</v>
      </c>
      <c r="O13" s="484" t="s">
        <v>309</v>
      </c>
      <c r="P13" s="488" t="s">
        <v>309</v>
      </c>
      <c r="Q13" s="484" t="s">
        <v>309</v>
      </c>
      <c r="R13" s="484" t="s">
        <v>309</v>
      </c>
      <c r="S13" s="488" t="s">
        <v>309</v>
      </c>
      <c r="T13" s="487"/>
      <c r="U13" s="484" t="s">
        <v>309</v>
      </c>
      <c r="V13" s="484" t="s">
        <v>309</v>
      </c>
      <c r="W13" s="488" t="s">
        <v>309</v>
      </c>
      <c r="X13" s="484" t="s">
        <v>309</v>
      </c>
      <c r="Y13" s="484" t="s">
        <v>309</v>
      </c>
      <c r="Z13" s="484" t="s">
        <v>309</v>
      </c>
      <c r="AA13" s="487"/>
      <c r="AB13" s="484" t="s">
        <v>309</v>
      </c>
      <c r="AC13" s="487" t="s">
        <v>309</v>
      </c>
      <c r="AD13" s="488" t="s">
        <v>309</v>
      </c>
      <c r="AE13" s="484" t="s">
        <v>309</v>
      </c>
      <c r="AF13" s="484" t="s">
        <v>309</v>
      </c>
      <c r="AG13" s="484" t="s">
        <v>309</v>
      </c>
      <c r="AH13" s="487"/>
      <c r="AI13" s="484" t="s">
        <v>309</v>
      </c>
      <c r="AJ13" s="484"/>
      <c r="AK13" s="484"/>
    </row>
    <row r="14" spans="2:37" ht="13.5" thickBot="1" x14ac:dyDescent="0.25">
      <c r="B14" s="483"/>
      <c r="C14" s="484">
        <v>1</v>
      </c>
      <c r="D14" s="486"/>
      <c r="E14" s="486"/>
      <c r="F14" s="494"/>
      <c r="G14" s="484" t="s">
        <v>309</v>
      </c>
      <c r="H14" s="484" t="s">
        <v>309</v>
      </c>
      <c r="I14" s="484" t="s">
        <v>309</v>
      </c>
      <c r="J14" s="487" t="s">
        <v>309</v>
      </c>
      <c r="K14" s="487" t="s">
        <v>309</v>
      </c>
      <c r="L14" s="487" t="s">
        <v>309</v>
      </c>
      <c r="M14" s="487"/>
      <c r="N14" s="487" t="s">
        <v>309</v>
      </c>
      <c r="O14" s="484" t="s">
        <v>309</v>
      </c>
      <c r="P14" s="488" t="s">
        <v>309</v>
      </c>
      <c r="Q14" s="484" t="s">
        <v>309</v>
      </c>
      <c r="R14" s="484" t="s">
        <v>309</v>
      </c>
      <c r="S14" s="488" t="s">
        <v>309</v>
      </c>
      <c r="T14" s="487"/>
      <c r="U14" s="484" t="s">
        <v>309</v>
      </c>
      <c r="V14" s="484" t="s">
        <v>309</v>
      </c>
      <c r="W14" s="488" t="s">
        <v>309</v>
      </c>
      <c r="X14" s="484" t="s">
        <v>309</v>
      </c>
      <c r="Y14" s="484" t="s">
        <v>309</v>
      </c>
      <c r="Z14" s="484" t="s">
        <v>309</v>
      </c>
      <c r="AA14" s="487"/>
      <c r="AB14" s="484" t="s">
        <v>309</v>
      </c>
      <c r="AC14" s="487" t="s">
        <v>309</v>
      </c>
      <c r="AD14" s="488" t="s">
        <v>309</v>
      </c>
      <c r="AE14" s="484" t="s">
        <v>309</v>
      </c>
      <c r="AF14" s="484" t="s">
        <v>309</v>
      </c>
      <c r="AG14" s="484" t="s">
        <v>309</v>
      </c>
      <c r="AH14" s="487"/>
      <c r="AI14" s="484" t="s">
        <v>309</v>
      </c>
      <c r="AJ14" s="484"/>
      <c r="AK14" s="484"/>
    </row>
    <row r="15" spans="2:37" ht="13.5" thickBot="1" x14ac:dyDescent="0.25">
      <c r="B15" s="483"/>
      <c r="C15" s="484">
        <v>1</v>
      </c>
      <c r="D15" s="485"/>
      <c r="E15" s="486"/>
      <c r="F15" s="494"/>
      <c r="G15" s="484" t="s">
        <v>309</v>
      </c>
      <c r="H15" s="484" t="s">
        <v>309</v>
      </c>
      <c r="I15" s="484" t="s">
        <v>309</v>
      </c>
      <c r="J15" s="487" t="s">
        <v>309</v>
      </c>
      <c r="K15" s="487" t="s">
        <v>309</v>
      </c>
      <c r="L15" s="487" t="s">
        <v>309</v>
      </c>
      <c r="M15" s="487"/>
      <c r="N15" s="487" t="s">
        <v>309</v>
      </c>
      <c r="O15" s="484" t="s">
        <v>309</v>
      </c>
      <c r="P15" s="488" t="s">
        <v>309</v>
      </c>
      <c r="Q15" s="484" t="s">
        <v>309</v>
      </c>
      <c r="R15" s="484" t="s">
        <v>309</v>
      </c>
      <c r="S15" s="488" t="s">
        <v>309</v>
      </c>
      <c r="T15" s="487"/>
      <c r="U15" s="484" t="s">
        <v>309</v>
      </c>
      <c r="V15" s="484" t="s">
        <v>309</v>
      </c>
      <c r="W15" s="488" t="s">
        <v>309</v>
      </c>
      <c r="X15" s="484" t="s">
        <v>309</v>
      </c>
      <c r="Y15" s="484" t="s">
        <v>309</v>
      </c>
      <c r="Z15" s="484" t="s">
        <v>309</v>
      </c>
      <c r="AA15" s="487"/>
      <c r="AB15" s="484" t="s">
        <v>309</v>
      </c>
      <c r="AC15" s="487" t="s">
        <v>309</v>
      </c>
      <c r="AD15" s="488" t="s">
        <v>309</v>
      </c>
      <c r="AE15" s="484" t="s">
        <v>309</v>
      </c>
      <c r="AF15" s="484" t="s">
        <v>309</v>
      </c>
      <c r="AG15" s="484" t="s">
        <v>309</v>
      </c>
      <c r="AH15" s="487"/>
      <c r="AI15" s="484" t="s">
        <v>309</v>
      </c>
      <c r="AJ15" s="484"/>
      <c r="AK15" s="484"/>
    </row>
    <row r="16" spans="2:37" ht="13.5" thickBot="1" x14ac:dyDescent="0.25">
      <c r="B16" s="483"/>
      <c r="C16" s="484">
        <v>1</v>
      </c>
      <c r="D16" s="485"/>
      <c r="E16" s="486"/>
      <c r="F16" s="494"/>
      <c r="G16" s="484" t="s">
        <v>309</v>
      </c>
      <c r="H16" s="484" t="s">
        <v>309</v>
      </c>
      <c r="I16" s="484" t="s">
        <v>309</v>
      </c>
      <c r="J16" s="487" t="s">
        <v>309</v>
      </c>
      <c r="K16" s="487" t="s">
        <v>309</v>
      </c>
      <c r="L16" s="487" t="s">
        <v>309</v>
      </c>
      <c r="M16" s="487"/>
      <c r="N16" s="487" t="s">
        <v>309</v>
      </c>
      <c r="O16" s="484" t="s">
        <v>309</v>
      </c>
      <c r="P16" s="488" t="s">
        <v>309</v>
      </c>
      <c r="Q16" s="484" t="s">
        <v>309</v>
      </c>
      <c r="R16" s="484" t="s">
        <v>309</v>
      </c>
      <c r="S16" s="488" t="s">
        <v>309</v>
      </c>
      <c r="T16" s="487"/>
      <c r="U16" s="484" t="s">
        <v>309</v>
      </c>
      <c r="V16" s="484" t="s">
        <v>309</v>
      </c>
      <c r="W16" s="488" t="s">
        <v>309</v>
      </c>
      <c r="X16" s="484" t="s">
        <v>309</v>
      </c>
      <c r="Y16" s="484" t="s">
        <v>309</v>
      </c>
      <c r="Z16" s="484" t="s">
        <v>309</v>
      </c>
      <c r="AA16" s="487"/>
      <c r="AB16" s="484" t="s">
        <v>309</v>
      </c>
      <c r="AC16" s="487" t="s">
        <v>309</v>
      </c>
      <c r="AD16" s="488" t="s">
        <v>309</v>
      </c>
      <c r="AE16" s="484" t="s">
        <v>309</v>
      </c>
      <c r="AF16" s="484" t="s">
        <v>309</v>
      </c>
      <c r="AG16" s="484" t="s">
        <v>309</v>
      </c>
      <c r="AH16" s="487"/>
      <c r="AI16" s="484" t="s">
        <v>309</v>
      </c>
      <c r="AJ16" s="484"/>
      <c r="AK16" s="484"/>
    </row>
    <row r="17" spans="2:37" ht="13.5" thickBot="1" x14ac:dyDescent="0.25">
      <c r="B17" s="483"/>
      <c r="C17" s="484">
        <v>2</v>
      </c>
      <c r="D17" s="485"/>
      <c r="E17" s="486"/>
      <c r="F17" s="494"/>
      <c r="G17" s="484" t="s">
        <v>309</v>
      </c>
      <c r="H17" s="484" t="s">
        <v>309</v>
      </c>
      <c r="I17" s="484" t="s">
        <v>309</v>
      </c>
      <c r="J17" s="487" t="s">
        <v>309</v>
      </c>
      <c r="K17" s="487" t="s">
        <v>309</v>
      </c>
      <c r="L17" s="487" t="s">
        <v>309</v>
      </c>
      <c r="M17" s="487"/>
      <c r="N17" s="487" t="s">
        <v>309</v>
      </c>
      <c r="O17" s="484" t="s">
        <v>309</v>
      </c>
      <c r="P17" s="488" t="s">
        <v>309</v>
      </c>
      <c r="Q17" s="484" t="s">
        <v>309</v>
      </c>
      <c r="R17" s="484" t="s">
        <v>309</v>
      </c>
      <c r="S17" s="488" t="s">
        <v>309</v>
      </c>
      <c r="T17" s="487"/>
      <c r="U17" s="484" t="s">
        <v>309</v>
      </c>
      <c r="V17" s="484" t="s">
        <v>309</v>
      </c>
      <c r="W17" s="488" t="s">
        <v>309</v>
      </c>
      <c r="X17" s="484" t="s">
        <v>309</v>
      </c>
      <c r="Y17" s="484" t="s">
        <v>309</v>
      </c>
      <c r="Z17" s="484" t="s">
        <v>309</v>
      </c>
      <c r="AA17" s="487"/>
      <c r="AB17" s="484" t="s">
        <v>309</v>
      </c>
      <c r="AC17" s="487" t="s">
        <v>309</v>
      </c>
      <c r="AD17" s="488" t="s">
        <v>309</v>
      </c>
      <c r="AE17" s="484" t="s">
        <v>309</v>
      </c>
      <c r="AF17" s="484" t="s">
        <v>309</v>
      </c>
      <c r="AG17" s="484" t="s">
        <v>309</v>
      </c>
      <c r="AH17" s="487"/>
      <c r="AI17" s="484" t="s">
        <v>309</v>
      </c>
      <c r="AJ17" s="484"/>
      <c r="AK17" s="484"/>
    </row>
    <row r="18" spans="2:37" ht="13.5" thickBot="1" x14ac:dyDescent="0.25">
      <c r="B18" s="483"/>
      <c r="C18" s="484">
        <v>1</v>
      </c>
      <c r="D18" s="485"/>
      <c r="E18" s="486"/>
      <c r="F18" s="494"/>
      <c r="G18" s="484" t="s">
        <v>309</v>
      </c>
      <c r="H18" s="484" t="s">
        <v>309</v>
      </c>
      <c r="I18" s="484" t="s">
        <v>309</v>
      </c>
      <c r="J18" s="487" t="s">
        <v>309</v>
      </c>
      <c r="K18" s="487" t="s">
        <v>309</v>
      </c>
      <c r="L18" s="487" t="s">
        <v>309</v>
      </c>
      <c r="M18" s="487"/>
      <c r="N18" s="487" t="s">
        <v>309</v>
      </c>
      <c r="O18" s="484" t="s">
        <v>309</v>
      </c>
      <c r="P18" s="488" t="s">
        <v>309</v>
      </c>
      <c r="Q18" s="484" t="s">
        <v>309</v>
      </c>
      <c r="R18" s="484" t="s">
        <v>309</v>
      </c>
      <c r="S18" s="488" t="s">
        <v>309</v>
      </c>
      <c r="T18" s="487"/>
      <c r="U18" s="484" t="s">
        <v>309</v>
      </c>
      <c r="V18" s="484" t="s">
        <v>309</v>
      </c>
      <c r="W18" s="488" t="s">
        <v>309</v>
      </c>
      <c r="X18" s="484" t="s">
        <v>309</v>
      </c>
      <c r="Y18" s="484" t="s">
        <v>309</v>
      </c>
      <c r="Z18" s="484" t="s">
        <v>309</v>
      </c>
      <c r="AA18" s="487"/>
      <c r="AB18" s="484" t="s">
        <v>309</v>
      </c>
      <c r="AC18" s="487" t="s">
        <v>309</v>
      </c>
      <c r="AD18" s="488" t="s">
        <v>309</v>
      </c>
      <c r="AE18" s="484" t="s">
        <v>309</v>
      </c>
      <c r="AF18" s="484" t="s">
        <v>309</v>
      </c>
      <c r="AG18" s="484" t="s">
        <v>309</v>
      </c>
      <c r="AH18" s="487"/>
      <c r="AI18" s="484" t="s">
        <v>309</v>
      </c>
      <c r="AJ18" s="484"/>
      <c r="AK18" s="484"/>
    </row>
    <row r="19" spans="2:37" ht="13.5" thickBot="1" x14ac:dyDescent="0.25">
      <c r="B19" s="483"/>
      <c r="C19" s="484">
        <v>1</v>
      </c>
      <c r="D19" s="485"/>
      <c r="E19" s="486"/>
      <c r="F19" s="494"/>
      <c r="G19" s="484" t="s">
        <v>309</v>
      </c>
      <c r="H19" s="484" t="s">
        <v>309</v>
      </c>
      <c r="I19" s="484" t="s">
        <v>309</v>
      </c>
      <c r="J19" s="487" t="s">
        <v>309</v>
      </c>
      <c r="K19" s="487" t="s">
        <v>309</v>
      </c>
      <c r="L19" s="487" t="s">
        <v>309</v>
      </c>
      <c r="M19" s="487"/>
      <c r="N19" s="487" t="s">
        <v>309</v>
      </c>
      <c r="O19" s="484" t="s">
        <v>309</v>
      </c>
      <c r="P19" s="488" t="s">
        <v>309</v>
      </c>
      <c r="Q19" s="484" t="s">
        <v>309</v>
      </c>
      <c r="R19" s="484" t="s">
        <v>309</v>
      </c>
      <c r="S19" s="488" t="s">
        <v>309</v>
      </c>
      <c r="T19" s="487"/>
      <c r="U19" s="484" t="s">
        <v>309</v>
      </c>
      <c r="V19" s="484" t="s">
        <v>309</v>
      </c>
      <c r="W19" s="488" t="s">
        <v>309</v>
      </c>
      <c r="X19" s="484" t="s">
        <v>309</v>
      </c>
      <c r="Y19" s="484" t="s">
        <v>309</v>
      </c>
      <c r="Z19" s="484" t="s">
        <v>309</v>
      </c>
      <c r="AA19" s="487"/>
      <c r="AB19" s="484" t="s">
        <v>309</v>
      </c>
      <c r="AC19" s="487" t="s">
        <v>309</v>
      </c>
      <c r="AD19" s="488" t="s">
        <v>309</v>
      </c>
      <c r="AE19" s="484" t="s">
        <v>309</v>
      </c>
      <c r="AF19" s="484" t="s">
        <v>309</v>
      </c>
      <c r="AG19" s="484" t="s">
        <v>309</v>
      </c>
      <c r="AH19" s="487"/>
      <c r="AI19" s="484" t="s">
        <v>309</v>
      </c>
      <c r="AJ19" s="484"/>
      <c r="AK19" s="484"/>
    </row>
    <row r="20" spans="2:37" ht="13.5" thickBot="1" x14ac:dyDescent="0.25">
      <c r="B20" s="483"/>
      <c r="C20" s="484">
        <v>1</v>
      </c>
      <c r="D20" s="485"/>
      <c r="E20" s="486"/>
      <c r="F20" s="494"/>
      <c r="G20" s="484" t="s">
        <v>309</v>
      </c>
      <c r="H20" s="484" t="s">
        <v>309</v>
      </c>
      <c r="I20" s="484" t="s">
        <v>309</v>
      </c>
      <c r="J20" s="487" t="s">
        <v>309</v>
      </c>
      <c r="K20" s="487" t="s">
        <v>309</v>
      </c>
      <c r="L20" s="487" t="s">
        <v>309</v>
      </c>
      <c r="M20" s="487"/>
      <c r="N20" s="487" t="s">
        <v>309</v>
      </c>
      <c r="O20" s="484" t="s">
        <v>309</v>
      </c>
      <c r="P20" s="488" t="s">
        <v>309</v>
      </c>
      <c r="Q20" s="484" t="s">
        <v>309</v>
      </c>
      <c r="R20" s="484" t="s">
        <v>309</v>
      </c>
      <c r="S20" s="488" t="s">
        <v>309</v>
      </c>
      <c r="T20" s="487"/>
      <c r="U20" s="484" t="s">
        <v>309</v>
      </c>
      <c r="V20" s="484" t="s">
        <v>309</v>
      </c>
      <c r="W20" s="488" t="s">
        <v>309</v>
      </c>
      <c r="X20" s="484" t="s">
        <v>309</v>
      </c>
      <c r="Y20" s="484" t="s">
        <v>309</v>
      </c>
      <c r="Z20" s="484" t="s">
        <v>309</v>
      </c>
      <c r="AA20" s="487"/>
      <c r="AB20" s="484" t="s">
        <v>309</v>
      </c>
      <c r="AC20" s="487" t="s">
        <v>309</v>
      </c>
      <c r="AD20" s="488" t="s">
        <v>309</v>
      </c>
      <c r="AE20" s="484" t="s">
        <v>309</v>
      </c>
      <c r="AF20" s="484" t="s">
        <v>309</v>
      </c>
      <c r="AG20" s="484" t="s">
        <v>309</v>
      </c>
      <c r="AH20" s="487"/>
      <c r="AI20" s="484" t="s">
        <v>309</v>
      </c>
      <c r="AJ20" s="484"/>
      <c r="AK20" s="484"/>
    </row>
    <row r="21" spans="2:37" ht="13.5" thickBot="1" x14ac:dyDescent="0.25">
      <c r="B21" s="483"/>
      <c r="C21" s="484">
        <v>1</v>
      </c>
      <c r="D21" s="486"/>
      <c r="E21" s="486"/>
      <c r="F21" s="494"/>
      <c r="G21" s="484" t="s">
        <v>309</v>
      </c>
      <c r="H21" s="484" t="s">
        <v>309</v>
      </c>
      <c r="I21" s="484" t="s">
        <v>309</v>
      </c>
      <c r="J21" s="487" t="s">
        <v>309</v>
      </c>
      <c r="K21" s="487" t="s">
        <v>309</v>
      </c>
      <c r="L21" s="487" t="s">
        <v>309</v>
      </c>
      <c r="M21" s="487"/>
      <c r="N21" s="487" t="s">
        <v>309</v>
      </c>
      <c r="O21" s="484" t="s">
        <v>309</v>
      </c>
      <c r="P21" s="488" t="s">
        <v>309</v>
      </c>
      <c r="Q21" s="484" t="s">
        <v>309</v>
      </c>
      <c r="R21" s="484" t="s">
        <v>309</v>
      </c>
      <c r="S21" s="488" t="s">
        <v>309</v>
      </c>
      <c r="T21" s="487"/>
      <c r="U21" s="484" t="s">
        <v>309</v>
      </c>
      <c r="V21" s="484" t="s">
        <v>309</v>
      </c>
      <c r="W21" s="488" t="s">
        <v>309</v>
      </c>
      <c r="X21" s="484" t="s">
        <v>309</v>
      </c>
      <c r="Y21" s="484" t="s">
        <v>309</v>
      </c>
      <c r="Z21" s="484" t="s">
        <v>309</v>
      </c>
      <c r="AA21" s="487"/>
      <c r="AB21" s="484" t="s">
        <v>309</v>
      </c>
      <c r="AC21" s="487" t="s">
        <v>309</v>
      </c>
      <c r="AD21" s="488" t="s">
        <v>309</v>
      </c>
      <c r="AE21" s="484" t="s">
        <v>309</v>
      </c>
      <c r="AF21" s="484" t="s">
        <v>309</v>
      </c>
      <c r="AG21" s="484" t="s">
        <v>309</v>
      </c>
      <c r="AH21" s="487"/>
      <c r="AI21" s="484" t="s">
        <v>309</v>
      </c>
      <c r="AJ21" s="484"/>
      <c r="AK21" s="484"/>
    </row>
    <row r="22" spans="2:37" ht="13.5" thickBot="1" x14ac:dyDescent="0.25">
      <c r="B22" s="483"/>
      <c r="C22" s="484">
        <v>1</v>
      </c>
      <c r="D22" s="485"/>
      <c r="E22" s="486"/>
      <c r="F22" s="494"/>
      <c r="G22" s="484" t="s">
        <v>309</v>
      </c>
      <c r="H22" s="484" t="s">
        <v>309</v>
      </c>
      <c r="I22" s="484" t="s">
        <v>309</v>
      </c>
      <c r="J22" s="487" t="s">
        <v>309</v>
      </c>
      <c r="K22" s="487" t="s">
        <v>309</v>
      </c>
      <c r="L22" s="487" t="s">
        <v>309</v>
      </c>
      <c r="M22" s="487"/>
      <c r="N22" s="487" t="s">
        <v>309</v>
      </c>
      <c r="O22" s="484" t="s">
        <v>309</v>
      </c>
      <c r="P22" s="488" t="s">
        <v>309</v>
      </c>
      <c r="Q22" s="484" t="s">
        <v>309</v>
      </c>
      <c r="R22" s="484" t="s">
        <v>309</v>
      </c>
      <c r="S22" s="488" t="s">
        <v>309</v>
      </c>
      <c r="T22" s="487"/>
      <c r="U22" s="484" t="s">
        <v>309</v>
      </c>
      <c r="V22" s="484" t="s">
        <v>309</v>
      </c>
      <c r="W22" s="488" t="s">
        <v>309</v>
      </c>
      <c r="X22" s="484" t="s">
        <v>309</v>
      </c>
      <c r="Y22" s="484" t="s">
        <v>309</v>
      </c>
      <c r="Z22" s="484" t="s">
        <v>309</v>
      </c>
      <c r="AA22" s="487"/>
      <c r="AB22" s="484" t="s">
        <v>309</v>
      </c>
      <c r="AC22" s="487" t="s">
        <v>309</v>
      </c>
      <c r="AD22" s="488" t="s">
        <v>309</v>
      </c>
      <c r="AE22" s="484" t="s">
        <v>309</v>
      </c>
      <c r="AF22" s="484" t="s">
        <v>309</v>
      </c>
      <c r="AG22" s="484" t="s">
        <v>309</v>
      </c>
      <c r="AH22" s="487"/>
      <c r="AI22" s="484" t="s">
        <v>309</v>
      </c>
      <c r="AJ22" s="484"/>
      <c r="AK22" s="484"/>
    </row>
    <row r="23" spans="2:37" ht="13.5" thickBot="1" x14ac:dyDescent="0.25">
      <c r="B23" s="483"/>
      <c r="C23" s="484">
        <v>1</v>
      </c>
      <c r="D23" s="486"/>
      <c r="E23" s="486"/>
      <c r="F23" s="494"/>
      <c r="G23" s="484" t="s">
        <v>309</v>
      </c>
      <c r="H23" s="484" t="s">
        <v>309</v>
      </c>
      <c r="I23" s="484" t="s">
        <v>309</v>
      </c>
      <c r="J23" s="487" t="s">
        <v>309</v>
      </c>
      <c r="K23" s="487" t="s">
        <v>309</v>
      </c>
      <c r="L23" s="487" t="s">
        <v>309</v>
      </c>
      <c r="M23" s="487"/>
      <c r="N23" s="487" t="s">
        <v>309</v>
      </c>
      <c r="O23" s="484" t="s">
        <v>309</v>
      </c>
      <c r="P23" s="488" t="s">
        <v>309</v>
      </c>
      <c r="Q23" s="484" t="s">
        <v>309</v>
      </c>
      <c r="R23" s="484" t="s">
        <v>309</v>
      </c>
      <c r="S23" s="488" t="s">
        <v>309</v>
      </c>
      <c r="T23" s="487"/>
      <c r="U23" s="484" t="s">
        <v>309</v>
      </c>
      <c r="V23" s="484" t="s">
        <v>309</v>
      </c>
      <c r="W23" s="488" t="s">
        <v>309</v>
      </c>
      <c r="X23" s="484" t="s">
        <v>309</v>
      </c>
      <c r="Y23" s="484" t="s">
        <v>309</v>
      </c>
      <c r="Z23" s="484" t="s">
        <v>309</v>
      </c>
      <c r="AA23" s="487"/>
      <c r="AB23" s="484" t="s">
        <v>309</v>
      </c>
      <c r="AC23" s="487" t="s">
        <v>309</v>
      </c>
      <c r="AD23" s="488" t="s">
        <v>309</v>
      </c>
      <c r="AE23" s="484" t="s">
        <v>309</v>
      </c>
      <c r="AF23" s="484" t="s">
        <v>309</v>
      </c>
      <c r="AG23" s="484" t="s">
        <v>309</v>
      </c>
      <c r="AH23" s="487"/>
      <c r="AI23" s="484" t="s">
        <v>309</v>
      </c>
      <c r="AJ23" s="484"/>
      <c r="AK23" s="484"/>
    </row>
    <row r="24" spans="2:37" ht="13.5" thickBot="1" x14ac:dyDescent="0.25">
      <c r="B24" s="483"/>
      <c r="C24" s="484">
        <v>1</v>
      </c>
      <c r="D24" s="485"/>
      <c r="E24" s="486"/>
      <c r="F24" s="494"/>
      <c r="G24" s="484" t="s">
        <v>309</v>
      </c>
      <c r="H24" s="484" t="s">
        <v>309</v>
      </c>
      <c r="I24" s="484" t="s">
        <v>309</v>
      </c>
      <c r="J24" s="487" t="s">
        <v>309</v>
      </c>
      <c r="K24" s="487" t="s">
        <v>309</v>
      </c>
      <c r="L24" s="487" t="s">
        <v>309</v>
      </c>
      <c r="M24" s="487"/>
      <c r="N24" s="487" t="s">
        <v>309</v>
      </c>
      <c r="O24" s="484" t="s">
        <v>309</v>
      </c>
      <c r="P24" s="488" t="s">
        <v>309</v>
      </c>
      <c r="Q24" s="484" t="s">
        <v>309</v>
      </c>
      <c r="R24" s="484" t="s">
        <v>309</v>
      </c>
      <c r="S24" s="488" t="s">
        <v>309</v>
      </c>
      <c r="T24" s="487"/>
      <c r="U24" s="484" t="s">
        <v>309</v>
      </c>
      <c r="V24" s="484" t="s">
        <v>309</v>
      </c>
      <c r="W24" s="488" t="s">
        <v>309</v>
      </c>
      <c r="X24" s="484" t="s">
        <v>309</v>
      </c>
      <c r="Y24" s="484" t="s">
        <v>309</v>
      </c>
      <c r="Z24" s="484" t="s">
        <v>309</v>
      </c>
      <c r="AA24" s="487"/>
      <c r="AB24" s="484" t="s">
        <v>309</v>
      </c>
      <c r="AC24" s="487" t="s">
        <v>309</v>
      </c>
      <c r="AD24" s="488" t="s">
        <v>309</v>
      </c>
      <c r="AE24" s="484" t="s">
        <v>309</v>
      </c>
      <c r="AF24" s="484" t="s">
        <v>309</v>
      </c>
      <c r="AG24" s="484" t="s">
        <v>309</v>
      </c>
      <c r="AH24" s="487"/>
      <c r="AI24" s="484" t="s">
        <v>309</v>
      </c>
      <c r="AJ24" s="484"/>
      <c r="AK24" s="484"/>
    </row>
    <row r="25" spans="2:37" ht="13.5" thickBot="1" x14ac:dyDescent="0.25">
      <c r="B25" s="483"/>
      <c r="C25" s="484">
        <v>1</v>
      </c>
      <c r="D25" s="485"/>
      <c r="E25" s="486"/>
      <c r="F25" s="494"/>
      <c r="G25" s="484" t="s">
        <v>309</v>
      </c>
      <c r="H25" s="484" t="s">
        <v>309</v>
      </c>
      <c r="I25" s="484" t="s">
        <v>309</v>
      </c>
      <c r="J25" s="487" t="s">
        <v>309</v>
      </c>
      <c r="K25" s="487" t="s">
        <v>309</v>
      </c>
      <c r="L25" s="487" t="s">
        <v>309</v>
      </c>
      <c r="M25" s="487"/>
      <c r="N25" s="487" t="s">
        <v>309</v>
      </c>
      <c r="O25" s="484" t="s">
        <v>309</v>
      </c>
      <c r="P25" s="488" t="s">
        <v>309</v>
      </c>
      <c r="Q25" s="484" t="s">
        <v>309</v>
      </c>
      <c r="R25" s="484" t="s">
        <v>309</v>
      </c>
      <c r="S25" s="488" t="s">
        <v>309</v>
      </c>
      <c r="T25" s="487"/>
      <c r="U25" s="484" t="s">
        <v>309</v>
      </c>
      <c r="V25" s="484" t="s">
        <v>309</v>
      </c>
      <c r="W25" s="488" t="s">
        <v>309</v>
      </c>
      <c r="X25" s="484" t="s">
        <v>309</v>
      </c>
      <c r="Y25" s="484" t="s">
        <v>309</v>
      </c>
      <c r="Z25" s="484" t="s">
        <v>309</v>
      </c>
      <c r="AA25" s="487"/>
      <c r="AB25" s="484" t="s">
        <v>309</v>
      </c>
      <c r="AC25" s="487" t="s">
        <v>309</v>
      </c>
      <c r="AD25" s="488" t="s">
        <v>309</v>
      </c>
      <c r="AE25" s="484" t="s">
        <v>309</v>
      </c>
      <c r="AF25" s="484" t="s">
        <v>309</v>
      </c>
      <c r="AG25" s="484" t="s">
        <v>309</v>
      </c>
      <c r="AH25" s="487"/>
      <c r="AI25" s="484" t="s">
        <v>309</v>
      </c>
      <c r="AJ25" s="484"/>
      <c r="AK25" s="484"/>
    </row>
    <row r="26" spans="2:37" ht="13.5" thickBot="1" x14ac:dyDescent="0.25">
      <c r="B26" s="483"/>
      <c r="C26" s="484">
        <v>1</v>
      </c>
      <c r="D26" s="485"/>
      <c r="E26" s="486"/>
      <c r="F26" s="494"/>
      <c r="G26" s="484" t="s">
        <v>309</v>
      </c>
      <c r="H26" s="484" t="s">
        <v>309</v>
      </c>
      <c r="I26" s="484" t="s">
        <v>309</v>
      </c>
      <c r="J26" s="487" t="s">
        <v>309</v>
      </c>
      <c r="K26" s="487" t="s">
        <v>309</v>
      </c>
      <c r="L26" s="487" t="s">
        <v>309</v>
      </c>
      <c r="M26" s="487"/>
      <c r="N26" s="487" t="s">
        <v>309</v>
      </c>
      <c r="O26" s="484" t="s">
        <v>309</v>
      </c>
      <c r="P26" s="488" t="s">
        <v>309</v>
      </c>
      <c r="Q26" s="484" t="s">
        <v>309</v>
      </c>
      <c r="R26" s="484" t="s">
        <v>309</v>
      </c>
      <c r="S26" s="488" t="s">
        <v>309</v>
      </c>
      <c r="T26" s="487"/>
      <c r="U26" s="484" t="s">
        <v>309</v>
      </c>
      <c r="V26" s="484" t="s">
        <v>309</v>
      </c>
      <c r="W26" s="488" t="s">
        <v>309</v>
      </c>
      <c r="X26" s="484" t="s">
        <v>309</v>
      </c>
      <c r="Y26" s="484" t="s">
        <v>309</v>
      </c>
      <c r="Z26" s="484" t="s">
        <v>309</v>
      </c>
      <c r="AA26" s="487"/>
      <c r="AB26" s="484" t="s">
        <v>309</v>
      </c>
      <c r="AC26" s="487" t="s">
        <v>309</v>
      </c>
      <c r="AD26" s="488" t="s">
        <v>309</v>
      </c>
      <c r="AE26" s="484" t="s">
        <v>309</v>
      </c>
      <c r="AF26" s="484" t="s">
        <v>309</v>
      </c>
      <c r="AG26" s="484" t="s">
        <v>309</v>
      </c>
      <c r="AH26" s="487"/>
      <c r="AI26" s="484" t="s">
        <v>309</v>
      </c>
      <c r="AJ26" s="484"/>
      <c r="AK26" s="484"/>
    </row>
    <row r="27" spans="2:37" ht="13.5" thickBot="1" x14ac:dyDescent="0.25">
      <c r="B27" s="483"/>
      <c r="C27" s="484">
        <v>1</v>
      </c>
      <c r="D27" s="485"/>
      <c r="E27" s="486"/>
      <c r="F27" s="494"/>
      <c r="G27" s="484" t="s">
        <v>309</v>
      </c>
      <c r="H27" s="484" t="s">
        <v>309</v>
      </c>
      <c r="I27" s="484" t="s">
        <v>309</v>
      </c>
      <c r="J27" s="487" t="s">
        <v>309</v>
      </c>
      <c r="K27" s="487" t="s">
        <v>309</v>
      </c>
      <c r="L27" s="487" t="s">
        <v>309</v>
      </c>
      <c r="M27" s="487"/>
      <c r="N27" s="487" t="s">
        <v>309</v>
      </c>
      <c r="O27" s="484" t="s">
        <v>309</v>
      </c>
      <c r="P27" s="488" t="s">
        <v>309</v>
      </c>
      <c r="Q27" s="484" t="s">
        <v>309</v>
      </c>
      <c r="R27" s="484" t="s">
        <v>309</v>
      </c>
      <c r="S27" s="488" t="s">
        <v>309</v>
      </c>
      <c r="T27" s="487"/>
      <c r="U27" s="484" t="s">
        <v>309</v>
      </c>
      <c r="V27" s="484" t="s">
        <v>309</v>
      </c>
      <c r="W27" s="488" t="s">
        <v>309</v>
      </c>
      <c r="X27" s="484" t="s">
        <v>309</v>
      </c>
      <c r="Y27" s="484" t="s">
        <v>309</v>
      </c>
      <c r="Z27" s="484" t="s">
        <v>309</v>
      </c>
      <c r="AA27" s="487"/>
      <c r="AB27" s="484" t="s">
        <v>309</v>
      </c>
      <c r="AC27" s="487" t="s">
        <v>309</v>
      </c>
      <c r="AD27" s="488" t="s">
        <v>309</v>
      </c>
      <c r="AE27" s="484" t="s">
        <v>309</v>
      </c>
      <c r="AF27" s="484" t="s">
        <v>309</v>
      </c>
      <c r="AG27" s="484" t="s">
        <v>309</v>
      </c>
      <c r="AH27" s="487"/>
      <c r="AI27" s="484" t="s">
        <v>309</v>
      </c>
      <c r="AJ27" s="484"/>
      <c r="AK27" s="484"/>
    </row>
    <row r="28" spans="2:37" ht="13.5" thickBot="1" x14ac:dyDescent="0.25">
      <c r="B28" s="483"/>
      <c r="C28" s="484">
        <v>1</v>
      </c>
      <c r="D28" s="485"/>
      <c r="E28" s="486"/>
      <c r="F28" s="494"/>
      <c r="G28" s="484" t="s">
        <v>309</v>
      </c>
      <c r="H28" s="484" t="s">
        <v>309</v>
      </c>
      <c r="I28" s="484" t="s">
        <v>309</v>
      </c>
      <c r="J28" s="487" t="s">
        <v>309</v>
      </c>
      <c r="K28" s="487" t="s">
        <v>309</v>
      </c>
      <c r="L28" s="487" t="s">
        <v>309</v>
      </c>
      <c r="M28" s="487"/>
      <c r="N28" s="487" t="s">
        <v>309</v>
      </c>
      <c r="O28" s="484" t="s">
        <v>309</v>
      </c>
      <c r="P28" s="488" t="s">
        <v>309</v>
      </c>
      <c r="Q28" s="484" t="s">
        <v>309</v>
      </c>
      <c r="R28" s="484" t="s">
        <v>309</v>
      </c>
      <c r="S28" s="488" t="s">
        <v>309</v>
      </c>
      <c r="T28" s="487"/>
      <c r="U28" s="484" t="s">
        <v>309</v>
      </c>
      <c r="V28" s="484" t="s">
        <v>309</v>
      </c>
      <c r="W28" s="488" t="s">
        <v>309</v>
      </c>
      <c r="X28" s="484" t="s">
        <v>309</v>
      </c>
      <c r="Y28" s="484" t="s">
        <v>309</v>
      </c>
      <c r="Z28" s="484" t="s">
        <v>309</v>
      </c>
      <c r="AA28" s="487"/>
      <c r="AB28" s="484" t="s">
        <v>309</v>
      </c>
      <c r="AC28" s="487" t="s">
        <v>309</v>
      </c>
      <c r="AD28" s="488" t="s">
        <v>309</v>
      </c>
      <c r="AE28" s="484" t="s">
        <v>309</v>
      </c>
      <c r="AF28" s="484" t="s">
        <v>309</v>
      </c>
      <c r="AG28" s="484" t="s">
        <v>309</v>
      </c>
      <c r="AH28" s="487"/>
      <c r="AI28" s="484" t="s">
        <v>309</v>
      </c>
      <c r="AJ28" s="484"/>
      <c r="AK28" s="484"/>
    </row>
    <row r="29" spans="2:37" ht="13.5" thickBot="1" x14ac:dyDescent="0.25">
      <c r="B29" s="483"/>
      <c r="C29" s="484">
        <v>1</v>
      </c>
      <c r="D29" s="485"/>
      <c r="E29" s="486"/>
      <c r="F29" s="494"/>
      <c r="G29" s="484" t="s">
        <v>309</v>
      </c>
      <c r="H29" s="484" t="s">
        <v>309</v>
      </c>
      <c r="I29" s="484" t="s">
        <v>309</v>
      </c>
      <c r="J29" s="487" t="s">
        <v>309</v>
      </c>
      <c r="K29" s="487" t="s">
        <v>309</v>
      </c>
      <c r="L29" s="487" t="s">
        <v>309</v>
      </c>
      <c r="M29" s="487"/>
      <c r="N29" s="487" t="s">
        <v>309</v>
      </c>
      <c r="O29" s="484" t="s">
        <v>309</v>
      </c>
      <c r="P29" s="488" t="s">
        <v>309</v>
      </c>
      <c r="Q29" s="484" t="s">
        <v>309</v>
      </c>
      <c r="R29" s="484" t="s">
        <v>309</v>
      </c>
      <c r="S29" s="488" t="s">
        <v>309</v>
      </c>
      <c r="T29" s="487"/>
      <c r="U29" s="484" t="s">
        <v>309</v>
      </c>
      <c r="V29" s="484" t="s">
        <v>309</v>
      </c>
      <c r="W29" s="488" t="s">
        <v>309</v>
      </c>
      <c r="X29" s="484" t="s">
        <v>309</v>
      </c>
      <c r="Y29" s="484" t="s">
        <v>309</v>
      </c>
      <c r="Z29" s="484" t="s">
        <v>309</v>
      </c>
      <c r="AA29" s="487"/>
      <c r="AB29" s="484" t="s">
        <v>309</v>
      </c>
      <c r="AC29" s="487" t="s">
        <v>309</v>
      </c>
      <c r="AD29" s="488" t="s">
        <v>309</v>
      </c>
      <c r="AE29" s="484" t="s">
        <v>309</v>
      </c>
      <c r="AF29" s="484" t="s">
        <v>309</v>
      </c>
      <c r="AG29" s="484" t="s">
        <v>309</v>
      </c>
      <c r="AH29" s="487"/>
      <c r="AI29" s="484" t="s">
        <v>309</v>
      </c>
      <c r="AJ29" s="484"/>
      <c r="AK29" s="484"/>
    </row>
    <row r="30" spans="2:37" ht="13.5" thickBot="1" x14ac:dyDescent="0.25">
      <c r="B30" s="483"/>
      <c r="C30" s="484">
        <v>1</v>
      </c>
      <c r="D30" s="485"/>
      <c r="E30" s="486"/>
      <c r="F30" s="494"/>
      <c r="G30" s="484" t="s">
        <v>309</v>
      </c>
      <c r="H30" s="484" t="s">
        <v>309</v>
      </c>
      <c r="I30" s="484" t="s">
        <v>309</v>
      </c>
      <c r="J30" s="487" t="s">
        <v>309</v>
      </c>
      <c r="K30" s="487" t="s">
        <v>309</v>
      </c>
      <c r="L30" s="487" t="s">
        <v>309</v>
      </c>
      <c r="M30" s="487"/>
      <c r="N30" s="487" t="s">
        <v>309</v>
      </c>
      <c r="O30" s="484" t="s">
        <v>309</v>
      </c>
      <c r="P30" s="488" t="s">
        <v>309</v>
      </c>
      <c r="Q30" s="484" t="s">
        <v>309</v>
      </c>
      <c r="R30" s="484" t="s">
        <v>309</v>
      </c>
      <c r="S30" s="488" t="s">
        <v>309</v>
      </c>
      <c r="T30" s="487"/>
      <c r="U30" s="484" t="s">
        <v>309</v>
      </c>
      <c r="V30" s="484" t="s">
        <v>309</v>
      </c>
      <c r="W30" s="488" t="s">
        <v>309</v>
      </c>
      <c r="X30" s="484" t="s">
        <v>309</v>
      </c>
      <c r="Y30" s="484" t="s">
        <v>309</v>
      </c>
      <c r="Z30" s="484" t="s">
        <v>309</v>
      </c>
      <c r="AA30" s="487"/>
      <c r="AB30" s="484" t="s">
        <v>309</v>
      </c>
      <c r="AC30" s="487" t="s">
        <v>309</v>
      </c>
      <c r="AD30" s="488" t="s">
        <v>309</v>
      </c>
      <c r="AE30" s="484" t="s">
        <v>309</v>
      </c>
      <c r="AF30" s="484" t="s">
        <v>309</v>
      </c>
      <c r="AG30" s="484" t="s">
        <v>309</v>
      </c>
      <c r="AH30" s="487"/>
      <c r="AI30" s="484" t="s">
        <v>309</v>
      </c>
      <c r="AJ30" s="484"/>
      <c r="AK30" s="484"/>
    </row>
    <row r="31" spans="2:37" ht="13.5" thickBot="1" x14ac:dyDescent="0.25">
      <c r="B31" s="483"/>
      <c r="C31" s="484">
        <v>1</v>
      </c>
      <c r="D31" s="486"/>
      <c r="E31" s="486"/>
      <c r="F31" s="494"/>
      <c r="G31" s="484" t="s">
        <v>309</v>
      </c>
      <c r="H31" s="484" t="s">
        <v>309</v>
      </c>
      <c r="I31" s="484" t="s">
        <v>309</v>
      </c>
      <c r="J31" s="487" t="s">
        <v>309</v>
      </c>
      <c r="K31" s="487" t="s">
        <v>309</v>
      </c>
      <c r="L31" s="487" t="s">
        <v>309</v>
      </c>
      <c r="M31" s="487"/>
      <c r="N31" s="487" t="s">
        <v>309</v>
      </c>
      <c r="O31" s="484" t="s">
        <v>309</v>
      </c>
      <c r="P31" s="488" t="s">
        <v>309</v>
      </c>
      <c r="Q31" s="484" t="s">
        <v>309</v>
      </c>
      <c r="R31" s="484" t="s">
        <v>309</v>
      </c>
      <c r="S31" s="488" t="s">
        <v>309</v>
      </c>
      <c r="T31" s="487"/>
      <c r="U31" s="484" t="s">
        <v>309</v>
      </c>
      <c r="V31" s="484" t="s">
        <v>309</v>
      </c>
      <c r="W31" s="488" t="s">
        <v>309</v>
      </c>
      <c r="X31" s="484" t="s">
        <v>309</v>
      </c>
      <c r="Y31" s="484" t="s">
        <v>309</v>
      </c>
      <c r="Z31" s="484" t="s">
        <v>309</v>
      </c>
      <c r="AA31" s="487"/>
      <c r="AB31" s="484" t="s">
        <v>309</v>
      </c>
      <c r="AC31" s="487" t="s">
        <v>309</v>
      </c>
      <c r="AD31" s="488" t="s">
        <v>309</v>
      </c>
      <c r="AE31" s="484" t="s">
        <v>309</v>
      </c>
      <c r="AF31" s="484" t="s">
        <v>309</v>
      </c>
      <c r="AG31" s="484" t="s">
        <v>309</v>
      </c>
      <c r="AH31" s="487"/>
      <c r="AI31" s="484" t="s">
        <v>309</v>
      </c>
      <c r="AJ31" s="484"/>
      <c r="AK31" s="484"/>
    </row>
    <row r="32" spans="2:37" ht="13.5" thickBot="1" x14ac:dyDescent="0.25">
      <c r="B32" s="483"/>
      <c r="C32" s="484">
        <v>1</v>
      </c>
      <c r="D32" s="485"/>
      <c r="E32" s="486"/>
      <c r="F32" s="494"/>
      <c r="G32" s="484" t="s">
        <v>309</v>
      </c>
      <c r="H32" s="484" t="s">
        <v>309</v>
      </c>
      <c r="I32" s="484" t="s">
        <v>309</v>
      </c>
      <c r="J32" s="487" t="s">
        <v>309</v>
      </c>
      <c r="K32" s="487" t="s">
        <v>309</v>
      </c>
      <c r="L32" s="487" t="s">
        <v>309</v>
      </c>
      <c r="M32" s="487"/>
      <c r="N32" s="487" t="s">
        <v>309</v>
      </c>
      <c r="O32" s="484" t="s">
        <v>309</v>
      </c>
      <c r="P32" s="488" t="s">
        <v>309</v>
      </c>
      <c r="Q32" s="484" t="s">
        <v>309</v>
      </c>
      <c r="R32" s="484" t="s">
        <v>309</v>
      </c>
      <c r="S32" s="488" t="s">
        <v>309</v>
      </c>
      <c r="T32" s="487"/>
      <c r="U32" s="484" t="s">
        <v>309</v>
      </c>
      <c r="V32" s="484" t="s">
        <v>309</v>
      </c>
      <c r="W32" s="488" t="s">
        <v>309</v>
      </c>
      <c r="X32" s="484" t="s">
        <v>309</v>
      </c>
      <c r="Y32" s="484" t="s">
        <v>309</v>
      </c>
      <c r="Z32" s="484" t="s">
        <v>309</v>
      </c>
      <c r="AA32" s="487"/>
      <c r="AB32" s="484" t="s">
        <v>309</v>
      </c>
      <c r="AC32" s="487" t="s">
        <v>309</v>
      </c>
      <c r="AD32" s="488" t="s">
        <v>309</v>
      </c>
      <c r="AE32" s="484" t="s">
        <v>309</v>
      </c>
      <c r="AF32" s="484" t="s">
        <v>309</v>
      </c>
      <c r="AG32" s="484" t="s">
        <v>309</v>
      </c>
      <c r="AH32" s="487"/>
      <c r="AI32" s="484" t="s">
        <v>309</v>
      </c>
      <c r="AJ32" s="484"/>
      <c r="AK32" s="484"/>
    </row>
    <row r="33" spans="2:37" ht="13.5" thickBot="1" x14ac:dyDescent="0.25">
      <c r="B33" s="483"/>
      <c r="C33" s="484">
        <v>1</v>
      </c>
      <c r="D33" s="485"/>
      <c r="E33" s="486"/>
      <c r="F33" s="494"/>
      <c r="G33" s="484" t="s">
        <v>309</v>
      </c>
      <c r="H33" s="484" t="s">
        <v>309</v>
      </c>
      <c r="I33" s="484" t="s">
        <v>309</v>
      </c>
      <c r="J33" s="487" t="s">
        <v>309</v>
      </c>
      <c r="K33" s="487" t="s">
        <v>309</v>
      </c>
      <c r="L33" s="487" t="s">
        <v>309</v>
      </c>
      <c r="M33" s="487"/>
      <c r="N33" s="487" t="s">
        <v>309</v>
      </c>
      <c r="O33" s="484" t="s">
        <v>309</v>
      </c>
      <c r="P33" s="488" t="s">
        <v>309</v>
      </c>
      <c r="Q33" s="484" t="s">
        <v>309</v>
      </c>
      <c r="R33" s="484" t="s">
        <v>309</v>
      </c>
      <c r="S33" s="488" t="s">
        <v>309</v>
      </c>
      <c r="T33" s="487"/>
      <c r="U33" s="484" t="s">
        <v>309</v>
      </c>
      <c r="V33" s="484" t="s">
        <v>309</v>
      </c>
      <c r="W33" s="488" t="s">
        <v>309</v>
      </c>
      <c r="X33" s="484" t="s">
        <v>309</v>
      </c>
      <c r="Y33" s="484" t="s">
        <v>309</v>
      </c>
      <c r="Z33" s="484" t="s">
        <v>309</v>
      </c>
      <c r="AA33" s="487"/>
      <c r="AB33" s="484" t="s">
        <v>309</v>
      </c>
      <c r="AC33" s="487" t="s">
        <v>309</v>
      </c>
      <c r="AD33" s="488" t="s">
        <v>309</v>
      </c>
      <c r="AE33" s="484" t="s">
        <v>309</v>
      </c>
      <c r="AF33" s="484" t="s">
        <v>309</v>
      </c>
      <c r="AG33" s="484" t="s">
        <v>309</v>
      </c>
      <c r="AH33" s="487"/>
      <c r="AI33" s="484" t="s">
        <v>309</v>
      </c>
      <c r="AJ33" s="484"/>
      <c r="AK33" s="484"/>
    </row>
    <row r="34" spans="2:37" ht="13.5" thickBot="1" x14ac:dyDescent="0.25">
      <c r="B34" s="483"/>
      <c r="C34" s="484">
        <v>1</v>
      </c>
      <c r="D34" s="485"/>
      <c r="E34" s="486"/>
      <c r="F34" s="494"/>
      <c r="G34" s="484" t="s">
        <v>309</v>
      </c>
      <c r="H34" s="484" t="s">
        <v>309</v>
      </c>
      <c r="I34" s="484" t="s">
        <v>309</v>
      </c>
      <c r="J34" s="487" t="s">
        <v>309</v>
      </c>
      <c r="K34" s="487" t="s">
        <v>309</v>
      </c>
      <c r="L34" s="487" t="s">
        <v>309</v>
      </c>
      <c r="M34" s="487"/>
      <c r="N34" s="487" t="s">
        <v>309</v>
      </c>
      <c r="O34" s="484" t="s">
        <v>309</v>
      </c>
      <c r="P34" s="488" t="s">
        <v>309</v>
      </c>
      <c r="Q34" s="484" t="s">
        <v>309</v>
      </c>
      <c r="R34" s="484" t="s">
        <v>309</v>
      </c>
      <c r="S34" s="488" t="s">
        <v>309</v>
      </c>
      <c r="T34" s="487"/>
      <c r="U34" s="484" t="s">
        <v>309</v>
      </c>
      <c r="V34" s="484" t="s">
        <v>309</v>
      </c>
      <c r="W34" s="488" t="s">
        <v>309</v>
      </c>
      <c r="X34" s="484" t="s">
        <v>309</v>
      </c>
      <c r="Y34" s="484" t="s">
        <v>309</v>
      </c>
      <c r="Z34" s="484" t="s">
        <v>309</v>
      </c>
      <c r="AA34" s="487"/>
      <c r="AB34" s="484" t="s">
        <v>309</v>
      </c>
      <c r="AC34" s="487" t="s">
        <v>309</v>
      </c>
      <c r="AD34" s="488" t="s">
        <v>309</v>
      </c>
      <c r="AE34" s="484" t="s">
        <v>309</v>
      </c>
      <c r="AF34" s="484" t="s">
        <v>309</v>
      </c>
      <c r="AG34" s="484" t="s">
        <v>309</v>
      </c>
      <c r="AH34" s="487"/>
      <c r="AI34" s="484" t="s">
        <v>309</v>
      </c>
      <c r="AJ34" s="484"/>
      <c r="AK34" s="484"/>
    </row>
    <row r="35" spans="2:37" ht="13.5" thickBot="1" x14ac:dyDescent="0.25">
      <c r="B35" s="483"/>
      <c r="C35" s="484">
        <v>1</v>
      </c>
      <c r="D35" s="485"/>
      <c r="E35" s="486"/>
      <c r="F35" s="494"/>
      <c r="G35" s="484" t="s">
        <v>309</v>
      </c>
      <c r="H35" s="484" t="s">
        <v>309</v>
      </c>
      <c r="I35" s="484" t="s">
        <v>309</v>
      </c>
      <c r="J35" s="487" t="s">
        <v>309</v>
      </c>
      <c r="K35" s="487" t="s">
        <v>309</v>
      </c>
      <c r="L35" s="487" t="s">
        <v>309</v>
      </c>
      <c r="M35" s="487"/>
      <c r="N35" s="487" t="s">
        <v>309</v>
      </c>
      <c r="O35" s="484" t="s">
        <v>309</v>
      </c>
      <c r="P35" s="488" t="s">
        <v>309</v>
      </c>
      <c r="Q35" s="484" t="s">
        <v>309</v>
      </c>
      <c r="R35" s="484" t="s">
        <v>309</v>
      </c>
      <c r="S35" s="488" t="s">
        <v>309</v>
      </c>
      <c r="T35" s="487"/>
      <c r="U35" s="484" t="s">
        <v>309</v>
      </c>
      <c r="V35" s="484" t="s">
        <v>309</v>
      </c>
      <c r="W35" s="488" t="s">
        <v>309</v>
      </c>
      <c r="X35" s="484" t="s">
        <v>309</v>
      </c>
      <c r="Y35" s="484" t="s">
        <v>309</v>
      </c>
      <c r="Z35" s="484" t="s">
        <v>309</v>
      </c>
      <c r="AA35" s="487"/>
      <c r="AB35" s="484" t="s">
        <v>309</v>
      </c>
      <c r="AC35" s="487" t="s">
        <v>309</v>
      </c>
      <c r="AD35" s="488" t="s">
        <v>309</v>
      </c>
      <c r="AE35" s="484" t="s">
        <v>309</v>
      </c>
      <c r="AF35" s="484" t="s">
        <v>309</v>
      </c>
      <c r="AG35" s="484" t="s">
        <v>309</v>
      </c>
      <c r="AH35" s="487"/>
      <c r="AI35" s="484" t="s">
        <v>309</v>
      </c>
      <c r="AJ35" s="484"/>
      <c r="AK35" s="484"/>
    </row>
    <row r="36" spans="2:37" ht="13.5" thickBot="1" x14ac:dyDescent="0.25">
      <c r="B36" s="483"/>
      <c r="C36" s="484">
        <v>1</v>
      </c>
      <c r="D36" s="485"/>
      <c r="E36" s="486"/>
      <c r="F36" s="494"/>
      <c r="G36" s="484" t="s">
        <v>309</v>
      </c>
      <c r="H36" s="484" t="s">
        <v>309</v>
      </c>
      <c r="I36" s="484" t="s">
        <v>309</v>
      </c>
      <c r="J36" s="487" t="s">
        <v>309</v>
      </c>
      <c r="K36" s="487" t="s">
        <v>309</v>
      </c>
      <c r="L36" s="487" t="s">
        <v>309</v>
      </c>
      <c r="M36" s="487"/>
      <c r="N36" s="487" t="s">
        <v>309</v>
      </c>
      <c r="O36" s="484" t="s">
        <v>309</v>
      </c>
      <c r="P36" s="488" t="s">
        <v>309</v>
      </c>
      <c r="Q36" s="484" t="s">
        <v>309</v>
      </c>
      <c r="R36" s="484" t="s">
        <v>309</v>
      </c>
      <c r="S36" s="488" t="s">
        <v>309</v>
      </c>
      <c r="T36" s="487"/>
      <c r="U36" s="484" t="s">
        <v>309</v>
      </c>
      <c r="V36" s="484" t="s">
        <v>309</v>
      </c>
      <c r="W36" s="488" t="s">
        <v>309</v>
      </c>
      <c r="X36" s="484" t="s">
        <v>309</v>
      </c>
      <c r="Y36" s="484" t="s">
        <v>309</v>
      </c>
      <c r="Z36" s="484" t="s">
        <v>309</v>
      </c>
      <c r="AA36" s="487"/>
      <c r="AB36" s="484" t="s">
        <v>309</v>
      </c>
      <c r="AC36" s="487" t="s">
        <v>309</v>
      </c>
      <c r="AD36" s="488" t="s">
        <v>309</v>
      </c>
      <c r="AE36" s="484" t="s">
        <v>309</v>
      </c>
      <c r="AF36" s="484" t="s">
        <v>309</v>
      </c>
      <c r="AG36" s="484" t="s">
        <v>309</v>
      </c>
      <c r="AH36" s="487"/>
      <c r="AI36" s="484" t="s">
        <v>309</v>
      </c>
      <c r="AJ36" s="484"/>
      <c r="AK36" s="484"/>
    </row>
    <row r="37" spans="2:37" ht="13.5" thickBot="1" x14ac:dyDescent="0.25">
      <c r="B37" s="483"/>
      <c r="C37" s="484">
        <v>1</v>
      </c>
      <c r="D37" s="485"/>
      <c r="E37" s="486"/>
      <c r="F37" s="494"/>
      <c r="G37" s="484" t="s">
        <v>309</v>
      </c>
      <c r="H37" s="484" t="s">
        <v>309</v>
      </c>
      <c r="I37" s="484" t="s">
        <v>309</v>
      </c>
      <c r="J37" s="487" t="s">
        <v>309</v>
      </c>
      <c r="K37" s="487" t="s">
        <v>309</v>
      </c>
      <c r="L37" s="487" t="s">
        <v>309</v>
      </c>
      <c r="M37" s="487"/>
      <c r="N37" s="487" t="s">
        <v>309</v>
      </c>
      <c r="O37" s="484" t="s">
        <v>309</v>
      </c>
      <c r="P37" s="488" t="s">
        <v>309</v>
      </c>
      <c r="Q37" s="484" t="s">
        <v>309</v>
      </c>
      <c r="R37" s="484" t="s">
        <v>309</v>
      </c>
      <c r="S37" s="488" t="s">
        <v>309</v>
      </c>
      <c r="T37" s="487"/>
      <c r="U37" s="484" t="s">
        <v>309</v>
      </c>
      <c r="V37" s="484" t="s">
        <v>309</v>
      </c>
      <c r="W37" s="488" t="s">
        <v>309</v>
      </c>
      <c r="X37" s="484" t="s">
        <v>309</v>
      </c>
      <c r="Y37" s="484" t="s">
        <v>309</v>
      </c>
      <c r="Z37" s="484" t="s">
        <v>309</v>
      </c>
      <c r="AA37" s="487"/>
      <c r="AB37" s="484" t="s">
        <v>309</v>
      </c>
      <c r="AC37" s="487" t="s">
        <v>309</v>
      </c>
      <c r="AD37" s="488" t="s">
        <v>309</v>
      </c>
      <c r="AE37" s="484" t="s">
        <v>309</v>
      </c>
      <c r="AF37" s="484" t="s">
        <v>309</v>
      </c>
      <c r="AG37" s="484" t="s">
        <v>309</v>
      </c>
      <c r="AH37" s="487"/>
      <c r="AI37" s="484" t="s">
        <v>309</v>
      </c>
      <c r="AJ37" s="484"/>
      <c r="AK37" s="484"/>
    </row>
    <row r="38" spans="2:37" ht="13.5" thickBot="1" x14ac:dyDescent="0.25">
      <c r="B38" s="483"/>
      <c r="C38" s="484">
        <v>1</v>
      </c>
      <c r="D38" s="485"/>
      <c r="E38" s="486"/>
      <c r="F38" s="494"/>
      <c r="G38" s="484" t="s">
        <v>309</v>
      </c>
      <c r="H38" s="484" t="s">
        <v>309</v>
      </c>
      <c r="I38" s="484" t="s">
        <v>309</v>
      </c>
      <c r="J38" s="487" t="s">
        <v>309</v>
      </c>
      <c r="K38" s="487" t="s">
        <v>309</v>
      </c>
      <c r="L38" s="487" t="s">
        <v>309</v>
      </c>
      <c r="M38" s="487"/>
      <c r="N38" s="487" t="s">
        <v>309</v>
      </c>
      <c r="O38" s="484" t="s">
        <v>309</v>
      </c>
      <c r="P38" s="488" t="s">
        <v>309</v>
      </c>
      <c r="Q38" s="484" t="s">
        <v>309</v>
      </c>
      <c r="R38" s="484" t="s">
        <v>309</v>
      </c>
      <c r="S38" s="488" t="s">
        <v>309</v>
      </c>
      <c r="T38" s="487"/>
      <c r="U38" s="484" t="s">
        <v>309</v>
      </c>
      <c r="V38" s="484" t="s">
        <v>309</v>
      </c>
      <c r="W38" s="488" t="s">
        <v>309</v>
      </c>
      <c r="X38" s="484" t="s">
        <v>309</v>
      </c>
      <c r="Y38" s="484" t="s">
        <v>309</v>
      </c>
      <c r="Z38" s="484" t="s">
        <v>309</v>
      </c>
      <c r="AA38" s="487"/>
      <c r="AB38" s="484" t="s">
        <v>309</v>
      </c>
      <c r="AC38" s="487" t="s">
        <v>309</v>
      </c>
      <c r="AD38" s="488" t="s">
        <v>309</v>
      </c>
      <c r="AE38" s="484" t="s">
        <v>309</v>
      </c>
      <c r="AF38" s="484" t="s">
        <v>309</v>
      </c>
      <c r="AG38" s="484" t="s">
        <v>309</v>
      </c>
      <c r="AH38" s="487"/>
      <c r="AI38" s="484" t="s">
        <v>309</v>
      </c>
      <c r="AJ38" s="484"/>
      <c r="AK38" s="484"/>
    </row>
    <row r="39" spans="2:37" x14ac:dyDescent="0.2">
      <c r="B39" s="706"/>
      <c r="C39" s="707"/>
      <c r="D39" s="489"/>
      <c r="E39" s="710"/>
      <c r="F39" s="706"/>
      <c r="G39" s="712"/>
      <c r="H39" s="712"/>
      <c r="I39" s="712"/>
      <c r="J39" s="712"/>
      <c r="K39" s="712"/>
      <c r="L39" s="712"/>
      <c r="M39" s="712"/>
      <c r="N39" s="712"/>
      <c r="O39" s="712"/>
      <c r="P39" s="712"/>
      <c r="Q39" s="712"/>
      <c r="R39" s="712"/>
      <c r="S39" s="712"/>
      <c r="T39" s="712"/>
      <c r="U39" s="712"/>
      <c r="V39" s="712"/>
      <c r="W39" s="712"/>
      <c r="X39" s="712"/>
      <c r="Y39" s="712"/>
      <c r="Z39" s="712"/>
      <c r="AA39" s="712"/>
      <c r="AB39" s="712"/>
      <c r="AC39" s="712"/>
      <c r="AD39" s="712"/>
      <c r="AE39" s="712"/>
      <c r="AF39" s="712"/>
      <c r="AG39" s="712"/>
      <c r="AH39" s="712"/>
      <c r="AI39" s="707"/>
      <c r="AJ39" s="489"/>
      <c r="AK39" s="701"/>
    </row>
    <row r="40" spans="2:37" ht="13.5" thickBot="1" x14ac:dyDescent="0.25">
      <c r="B40" s="708"/>
      <c r="C40" s="709"/>
      <c r="D40" s="482" t="s">
        <v>0</v>
      </c>
      <c r="E40" s="711"/>
      <c r="F40" s="708"/>
      <c r="G40" s="713"/>
      <c r="H40" s="713"/>
      <c r="I40" s="713"/>
      <c r="J40" s="713"/>
      <c r="K40" s="713"/>
      <c r="L40" s="713"/>
      <c r="M40" s="713"/>
      <c r="N40" s="713"/>
      <c r="O40" s="713"/>
      <c r="P40" s="713"/>
      <c r="Q40" s="713"/>
      <c r="R40" s="713"/>
      <c r="S40" s="713"/>
      <c r="T40" s="713"/>
      <c r="U40" s="713"/>
      <c r="V40" s="713"/>
      <c r="W40" s="713"/>
      <c r="X40" s="713"/>
      <c r="Y40" s="713"/>
      <c r="Z40" s="713"/>
      <c r="AA40" s="713"/>
      <c r="AB40" s="713"/>
      <c r="AC40" s="713"/>
      <c r="AD40" s="713"/>
      <c r="AE40" s="713"/>
      <c r="AF40" s="713"/>
      <c r="AG40" s="713"/>
      <c r="AH40" s="713"/>
      <c r="AI40" s="709"/>
      <c r="AJ40" s="481" t="s">
        <v>0</v>
      </c>
      <c r="AK40" s="702"/>
    </row>
  </sheetData>
  <mergeCells count="37">
    <mergeCell ref="F7:F8"/>
    <mergeCell ref="G7:G8"/>
    <mergeCell ref="H7:H8"/>
    <mergeCell ref="I7:I8"/>
    <mergeCell ref="U7:U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W7:W8"/>
    <mergeCell ref="X7:X8"/>
    <mergeCell ref="Y7:Y8"/>
    <mergeCell ref="Z7:Z8"/>
    <mergeCell ref="AA7:AA8"/>
    <mergeCell ref="AK39:AK40"/>
    <mergeCell ref="B5:AK5"/>
    <mergeCell ref="B39:C40"/>
    <mergeCell ref="E39:E40"/>
    <mergeCell ref="F39:AI40"/>
    <mergeCell ref="AH7:AH8"/>
    <mergeCell ref="AI7:AI8"/>
    <mergeCell ref="AJ7:AJ8"/>
    <mergeCell ref="AK7:AK8"/>
    <mergeCell ref="AB7:AB8"/>
    <mergeCell ref="AC7:AC8"/>
    <mergeCell ref="AD7:AD8"/>
    <mergeCell ref="AE7:AE8"/>
    <mergeCell ref="AF7:AF8"/>
    <mergeCell ref="AG7:AG8"/>
    <mergeCell ref="V7:V8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12</vt:i4>
      </vt:variant>
    </vt:vector>
  </HeadingPairs>
  <TitlesOfParts>
    <vt:vector size="21" baseType="lpstr">
      <vt:lpstr>Orçamento Geral </vt:lpstr>
      <vt:lpstr>COLETA</vt:lpstr>
      <vt:lpstr>VARRIÇÃO</vt:lpstr>
      <vt:lpstr>CANTEIRO ADM LOCAL</vt:lpstr>
      <vt:lpstr>SERVIÇOS</vt:lpstr>
      <vt:lpstr>BDI Agetop</vt:lpstr>
      <vt:lpstr>ENCARGOS</vt:lpstr>
      <vt:lpstr>Planilha de Preços</vt:lpstr>
      <vt:lpstr>Boletim de Medição</vt:lpstr>
      <vt:lpstr>'BDI Agetop'!Area_de_impressao</vt:lpstr>
      <vt:lpstr>'Boletim de Medição'!Area_de_impressao</vt:lpstr>
      <vt:lpstr>'CANTEIRO ADM LOCAL'!Area_de_impressao</vt:lpstr>
      <vt:lpstr>COLETA!Area_de_impressao</vt:lpstr>
      <vt:lpstr>ENCARGOS!Area_de_impressao</vt:lpstr>
      <vt:lpstr>'Orçamento Geral '!Area_de_impressao</vt:lpstr>
      <vt:lpstr>'Planilha de Preços'!Area_de_impressao</vt:lpstr>
      <vt:lpstr>VARRIÇÃO!Area_de_impressao</vt:lpstr>
      <vt:lpstr>COLETA!Titulos_de_impressao</vt:lpstr>
      <vt:lpstr>'Orçamento Geral '!Titulos_de_impressao</vt:lpstr>
      <vt:lpstr>'Planilha de Preços'!Titulos_de_impressao</vt:lpstr>
      <vt:lpstr>VARRIÇÃO!Titulos_de_impressao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</dc:creator>
  <cp:lastModifiedBy>Valmir</cp:lastModifiedBy>
  <cp:lastPrinted>2021-04-07T14:20:16Z</cp:lastPrinted>
  <dcterms:created xsi:type="dcterms:W3CDTF">2009-07-15T11:22:54Z</dcterms:created>
  <dcterms:modified xsi:type="dcterms:W3CDTF">2021-06-08T20:37:37Z</dcterms:modified>
</cp:coreProperties>
</file>